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vr-node01\Отдел ценовой политики\ТУРИЗМ\Прогноз Туризм 2021\"/>
    </mc:Choice>
  </mc:AlternateContent>
  <bookViews>
    <workbookView xWindow="0" yWindow="0" windowWidth="28770" windowHeight="13560"/>
  </bookViews>
  <sheets>
    <sheet name="Sheet1" sheetId="1" r:id="rId1"/>
  </sheets>
  <calcPr calcId="162913" iterateDelta="1E-4"/>
</workbook>
</file>

<file path=xl/calcChain.xml><?xml version="1.0" encoding="utf-8"?>
<calcChain xmlns="http://schemas.openxmlformats.org/spreadsheetml/2006/main">
  <c r="H41" i="1" l="1"/>
  <c r="H40" i="1"/>
  <c r="H42" i="1"/>
  <c r="P42" i="1" l="1"/>
  <c r="P41" i="1"/>
  <c r="P40" i="1"/>
  <c r="O42" i="1"/>
  <c r="O41" i="1"/>
  <c r="O40" i="1"/>
  <c r="M42" i="1"/>
  <c r="M41" i="1"/>
  <c r="M40" i="1"/>
  <c r="L42" i="1"/>
  <c r="L41" i="1"/>
  <c r="L40" i="1"/>
  <c r="J42" i="1"/>
  <c r="J41" i="1"/>
  <c r="J40" i="1"/>
  <c r="I42" i="1"/>
  <c r="I41" i="1"/>
  <c r="I40" i="1"/>
  <c r="P55" i="1" l="1"/>
  <c r="O55" i="1"/>
  <c r="M55" i="1"/>
  <c r="L55" i="1"/>
  <c r="J55" i="1"/>
  <c r="I55" i="1"/>
  <c r="H55" i="1"/>
  <c r="G55" i="1"/>
  <c r="P54" i="1"/>
  <c r="O54" i="1"/>
  <c r="M54" i="1"/>
  <c r="L54" i="1"/>
  <c r="J54" i="1"/>
  <c r="I54" i="1"/>
  <c r="H54" i="1"/>
  <c r="G54" i="1"/>
  <c r="P53" i="1"/>
  <c r="O53" i="1"/>
  <c r="M53" i="1"/>
  <c r="L53" i="1"/>
  <c r="J53" i="1"/>
  <c r="I53" i="1"/>
  <c r="H53" i="1"/>
  <c r="G53" i="1"/>
  <c r="P52" i="1"/>
  <c r="O52" i="1"/>
  <c r="M52" i="1"/>
  <c r="L52" i="1"/>
  <c r="J52" i="1"/>
  <c r="I52" i="1"/>
  <c r="H52" i="1"/>
  <c r="G52" i="1"/>
  <c r="P51" i="1"/>
  <c r="O51" i="1"/>
  <c r="M51" i="1"/>
  <c r="L51" i="1"/>
  <c r="J51" i="1"/>
  <c r="I51" i="1"/>
  <c r="H51" i="1"/>
  <c r="P50" i="1"/>
  <c r="O50" i="1"/>
  <c r="M50" i="1"/>
  <c r="L50" i="1"/>
  <c r="J50" i="1"/>
  <c r="I50" i="1"/>
  <c r="H50" i="1"/>
  <c r="P49" i="1"/>
  <c r="O49" i="1"/>
  <c r="M49" i="1"/>
  <c r="L49" i="1"/>
  <c r="J49" i="1"/>
  <c r="I49" i="1"/>
  <c r="H49" i="1"/>
  <c r="P48" i="1"/>
  <c r="O48" i="1"/>
  <c r="M48" i="1"/>
  <c r="L48" i="1"/>
  <c r="J48" i="1"/>
  <c r="I48" i="1"/>
  <c r="H48" i="1"/>
  <c r="P47" i="1"/>
  <c r="O47" i="1"/>
  <c r="M47" i="1"/>
  <c r="L47" i="1"/>
  <c r="J47" i="1"/>
  <c r="I47" i="1"/>
  <c r="H47" i="1"/>
  <c r="P46" i="1"/>
  <c r="O46" i="1"/>
  <c r="M46" i="1"/>
  <c r="L46" i="1"/>
  <c r="J46" i="1"/>
  <c r="I46" i="1"/>
  <c r="H46" i="1"/>
  <c r="P44" i="1"/>
  <c r="O44" i="1"/>
  <c r="M44" i="1"/>
  <c r="L44" i="1"/>
  <c r="J44" i="1"/>
  <c r="I44" i="1"/>
  <c r="H44" i="1"/>
  <c r="G44" i="1"/>
  <c r="F44" i="1"/>
  <c r="P34" i="1"/>
  <c r="O34" i="1"/>
  <c r="M34" i="1"/>
  <c r="L34" i="1"/>
  <c r="J34" i="1"/>
  <c r="I34" i="1"/>
  <c r="H34" i="1"/>
  <c r="P30" i="1"/>
  <c r="O30" i="1"/>
  <c r="M30" i="1"/>
  <c r="L30" i="1"/>
  <c r="J30" i="1"/>
  <c r="I30" i="1"/>
  <c r="H30" i="1"/>
  <c r="G30" i="1"/>
  <c r="F30" i="1"/>
  <c r="P29" i="1"/>
  <c r="O29" i="1"/>
  <c r="M29" i="1"/>
  <c r="L29" i="1"/>
  <c r="J29" i="1"/>
  <c r="I29" i="1"/>
  <c r="H29" i="1"/>
  <c r="P25" i="1"/>
  <c r="O25" i="1"/>
  <c r="M25" i="1"/>
  <c r="M23" i="1" s="1"/>
  <c r="L25" i="1"/>
  <c r="J25" i="1"/>
  <c r="I25" i="1"/>
  <c r="H25" i="1"/>
  <c r="H23" i="1" s="1"/>
  <c r="P24" i="1"/>
  <c r="O24" i="1"/>
  <c r="O23" i="1" s="1"/>
  <c r="M24" i="1"/>
  <c r="L24" i="1"/>
  <c r="L23" i="1" s="1"/>
  <c r="J24" i="1"/>
  <c r="J23" i="1" s="1"/>
  <c r="I24" i="1"/>
  <c r="H24" i="1"/>
  <c r="P23" i="1"/>
  <c r="G22" i="1"/>
  <c r="F22" i="1"/>
  <c r="I23" i="1" l="1"/>
  <c r="P22" i="1" l="1"/>
  <c r="O22" i="1"/>
  <c r="M22" i="1"/>
  <c r="L22" i="1"/>
  <c r="J22" i="1"/>
  <c r="I22" i="1"/>
  <c r="H22" i="1" l="1"/>
  <c r="F39" i="1" l="1"/>
  <c r="H39" i="1" l="1"/>
  <c r="G45" i="1" l="1"/>
  <c r="F45" i="1"/>
  <c r="P39" i="1" l="1"/>
  <c r="O39" i="1"/>
  <c r="M39" i="1"/>
  <c r="L39" i="1"/>
  <c r="I39" i="1"/>
  <c r="G39" i="1"/>
  <c r="J39" i="1" l="1"/>
  <c r="P45" i="1"/>
  <c r="O45" i="1"/>
  <c r="M45" i="1"/>
  <c r="L45" i="1"/>
  <c r="J45" i="1"/>
  <c r="I45" i="1"/>
  <c r="H45" i="1" l="1"/>
</calcChain>
</file>

<file path=xl/sharedStrings.xml><?xml version="1.0" encoding="utf-8"?>
<sst xmlns="http://schemas.openxmlformats.org/spreadsheetml/2006/main" count="105" uniqueCount="88">
  <si>
    <t>Приложение</t>
  </si>
  <si>
    <t>№ п/п</t>
  </si>
  <si>
    <t>Единица измерения</t>
  </si>
  <si>
    <t>прогноз</t>
  </si>
  <si>
    <t>факт</t>
  </si>
  <si>
    <t>оценка</t>
  </si>
  <si>
    <t>1.</t>
  </si>
  <si>
    <t>2.</t>
  </si>
  <si>
    <t>Среднесписочная численность работающих в сфере туризма</t>
  </si>
  <si>
    <t>Чел.</t>
  </si>
  <si>
    <t>3.</t>
  </si>
  <si>
    <t>Количество мест - всего</t>
  </si>
  <si>
    <t>Мест</t>
  </si>
  <si>
    <t>Из них:</t>
  </si>
  <si>
    <t>Летнего   размещения</t>
  </si>
  <si>
    <t>Повышенной     комфортности</t>
  </si>
  <si>
    <t>4.</t>
  </si>
  <si>
    <t>Количество номеров - всего</t>
  </si>
  <si>
    <t>Люкс</t>
  </si>
  <si>
    <t>Полулюкс</t>
  </si>
  <si>
    <t>1 местные</t>
  </si>
  <si>
    <t>2-х местные</t>
  </si>
  <si>
    <t>3-х местные</t>
  </si>
  <si>
    <t>4-х местные</t>
  </si>
  <si>
    <t>5.</t>
  </si>
  <si>
    <t>среднегодовая загрузка предприятий</t>
  </si>
  <si>
    <t>%</t>
  </si>
  <si>
    <t>6.</t>
  </si>
  <si>
    <t>Количество принятых туристов - всего (1+2+3)</t>
  </si>
  <si>
    <t>В т.ч.</t>
  </si>
  <si>
    <t>1. Количество иностранных посетителей (нерезидентов):</t>
  </si>
  <si>
    <t>а)-СНГ</t>
  </si>
  <si>
    <t>б)-вне СНГ</t>
  </si>
  <si>
    <t>В том числе экскурсантов:</t>
  </si>
  <si>
    <t>б) - вне СНГ</t>
  </si>
  <si>
    <t>2. Количество российских посетителей из других регионов (резидентов):</t>
  </si>
  <si>
    <t>В том числе экскурсантов</t>
  </si>
  <si>
    <t>3.  Количество туристов  из  Республики Адыгея</t>
  </si>
  <si>
    <t>1</t>
  </si>
  <si>
    <t>2</t>
  </si>
  <si>
    <t>3</t>
  </si>
  <si>
    <t>7.</t>
  </si>
  <si>
    <t>Объем туристских услуг, всего (1+2)</t>
  </si>
  <si>
    <t>Тыс. руб./ долл. США</t>
  </si>
  <si>
    <t>-СНГ</t>
  </si>
  <si>
    <t>- вне СНГ</t>
  </si>
  <si>
    <t>2.   Объемы   потребления  российских посетителей</t>
  </si>
  <si>
    <t>8.</t>
  </si>
  <si>
    <t>Перечислено налогов в бюджет - всего</t>
  </si>
  <si>
    <t>Тыс. руб.</t>
  </si>
  <si>
    <t>Федеральный</t>
  </si>
  <si>
    <t>Республиканский</t>
  </si>
  <si>
    <t>Местный</t>
  </si>
  <si>
    <t>9.</t>
  </si>
  <si>
    <t>Выплата дивидендов</t>
  </si>
  <si>
    <t>10.</t>
  </si>
  <si>
    <t>Прибыль (+), Убыток (-)</t>
  </si>
  <si>
    <t>11.</t>
  </si>
  <si>
    <t>Инвестиции - всего (1+2+3)</t>
  </si>
  <si>
    <t>1. собственные средства</t>
  </si>
  <si>
    <t>2. бюджетные средства, всего</t>
  </si>
  <si>
    <t>а) федеральный бюджет</t>
  </si>
  <si>
    <t>б) республиканский бюджет</t>
  </si>
  <si>
    <t>в) местный бюджет</t>
  </si>
  <si>
    <t>3. привлеченные средства (кроме собственных)</t>
  </si>
  <si>
    <t>12.</t>
  </si>
  <si>
    <t>Дебиторская задолженность</t>
  </si>
  <si>
    <t>13.</t>
  </si>
  <si>
    <t>Кредиторская задолженность</t>
  </si>
  <si>
    <t>Количество  выезжавших в  поездки жителей региона за пределы республики</t>
  </si>
  <si>
    <t>Объемы затрат жителей республики на поездки (с разбивкой по целям)</t>
  </si>
  <si>
    <t>Наименование показателей</t>
  </si>
  <si>
    <t>1 вариант</t>
  </si>
  <si>
    <t>2 вариант</t>
  </si>
  <si>
    <t>всего</t>
  </si>
  <si>
    <t>турэкск</t>
  </si>
  <si>
    <t xml:space="preserve">Руководитель Комитета по экономике                                                          Н.Н. Галда
</t>
  </si>
  <si>
    <t>Количество туристских организаций                                               (приложить перечень)</t>
  </si>
  <si>
    <r>
      <t xml:space="preserve">1. </t>
    </r>
    <r>
      <rPr>
        <sz val="16"/>
        <rFont val="Times New Roman"/>
        <family val="1"/>
        <charset val="204"/>
      </rPr>
      <t>Объемы потребления иностранного капитала, всего</t>
    </r>
  </si>
  <si>
    <t>Номеров</t>
  </si>
  <si>
    <t>Человек</t>
  </si>
  <si>
    <t>Исп. Ожева С.Р.  тел. 52-31-55</t>
  </si>
  <si>
    <t>2020 год</t>
  </si>
  <si>
    <t>14.</t>
  </si>
  <si>
    <t>15.</t>
  </si>
  <si>
    <t>2019  год</t>
  </si>
  <si>
    <t>2021 год</t>
  </si>
  <si>
    <t>Прогноз   развития   СФЕРЫ ТУРИЗМА на 2022-2024 годы муниципального образования «Город Майкоп»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</si>
</sst>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0"/>
      <name val="Arial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1"/>
      <name val="Arial"/>
      <family val="2"/>
      <charset val="204"/>
    </font>
    <font>
      <sz val="10"/>
      <color theme="0"/>
      <name val="Arial"/>
      <family val="2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20"/>
      <name val="Times New Roman"/>
      <family val="1"/>
      <charset val="204"/>
    </font>
    <font>
      <sz val="16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06">
    <xf numFmtId="0" fontId="1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vertical="top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left" vertical="top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/>
    </xf>
    <xf numFmtId="0" fontId="8" fillId="2" borderId="1" xfId="0" applyNumberFormat="1" applyFont="1" applyFill="1" applyBorder="1" applyAlignment="1" applyProtection="1">
      <alignment horizontal="left" vertical="top"/>
    </xf>
    <xf numFmtId="0" fontId="8" fillId="2" borderId="1" xfId="0" applyNumberFormat="1" applyFont="1" applyFill="1" applyBorder="1" applyAlignment="1" applyProtection="1">
      <alignment horizontal="center" vertical="top" wrapText="1"/>
    </xf>
    <xf numFmtId="0" fontId="8" fillId="0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164" fontId="1" fillId="0" borderId="0" xfId="0" applyNumberFormat="1" applyFont="1" applyFill="1" applyBorder="1" applyAlignment="1" applyProtection="1">
      <alignment vertical="top"/>
    </xf>
    <xf numFmtId="0" fontId="8" fillId="0" borderId="1" xfId="0" applyNumberFormat="1" applyFont="1" applyFill="1" applyBorder="1" applyAlignment="1" applyProtection="1">
      <alignment horizontal="center" vertical="top" wrapText="1"/>
    </xf>
    <xf numFmtId="0" fontId="8" fillId="0" borderId="1" xfId="0" applyNumberFormat="1" applyFont="1" applyFill="1" applyBorder="1" applyAlignment="1" applyProtection="1">
      <alignment horizontal="left" vertical="top"/>
    </xf>
    <xf numFmtId="0" fontId="8" fillId="0" borderId="1" xfId="0" applyNumberFormat="1" applyFont="1" applyFill="1" applyBorder="1" applyAlignment="1" applyProtection="1">
      <alignment vertical="top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1" fontId="8" fillId="2" borderId="1" xfId="0" applyNumberFormat="1" applyFont="1" applyFill="1" applyBorder="1" applyAlignment="1" applyProtection="1">
      <alignment horizontal="center" vertical="top"/>
    </xf>
    <xf numFmtId="1" fontId="8" fillId="2" borderId="2" xfId="0" applyNumberFormat="1" applyFont="1" applyFill="1" applyBorder="1" applyAlignment="1" applyProtection="1">
      <alignment horizontal="center" vertical="top"/>
    </xf>
    <xf numFmtId="1" fontId="8" fillId="2" borderId="4" xfId="0" applyNumberFormat="1" applyFont="1" applyFill="1" applyBorder="1" applyAlignment="1" applyProtection="1">
      <alignment horizontal="center" vertical="top"/>
    </xf>
    <xf numFmtId="1" fontId="8" fillId="2" borderId="1" xfId="0" applyNumberFormat="1" applyFont="1" applyFill="1" applyBorder="1" applyAlignment="1" applyProtection="1">
      <alignment horizontal="left" vertical="top"/>
    </xf>
    <xf numFmtId="0" fontId="8" fillId="2" borderId="1" xfId="0" applyNumberFormat="1" applyFont="1" applyFill="1" applyBorder="1" applyAlignment="1" applyProtection="1">
      <alignment horizontal="center" vertical="top"/>
    </xf>
    <xf numFmtId="1" fontId="8" fillId="2" borderId="1" xfId="0" applyNumberFormat="1" applyFont="1" applyFill="1" applyBorder="1" applyAlignment="1" applyProtection="1">
      <alignment horizontal="center" vertical="top" wrapText="1"/>
    </xf>
    <xf numFmtId="1" fontId="8" fillId="2" borderId="5" xfId="0" applyNumberFormat="1" applyFont="1" applyFill="1" applyBorder="1" applyAlignment="1" applyProtection="1">
      <alignment vertical="top"/>
    </xf>
    <xf numFmtId="1" fontId="8" fillId="2" borderId="7" xfId="0" applyNumberFormat="1" applyFont="1" applyFill="1" applyBorder="1" applyAlignment="1" applyProtection="1">
      <alignment vertical="top"/>
    </xf>
    <xf numFmtId="1" fontId="7" fillId="2" borderId="1" xfId="0" applyNumberFormat="1" applyFont="1" applyFill="1" applyBorder="1" applyAlignment="1" applyProtection="1">
      <alignment horizontal="center" vertical="top"/>
    </xf>
    <xf numFmtId="164" fontId="8" fillId="2" borderId="1" xfId="0" applyNumberFormat="1" applyFont="1" applyFill="1" applyBorder="1" applyAlignment="1" applyProtection="1">
      <alignment horizontal="center" vertical="top" wrapText="1"/>
    </xf>
    <xf numFmtId="164" fontId="8" fillId="2" borderId="1" xfId="0" applyNumberFormat="1" applyFont="1" applyFill="1" applyBorder="1" applyAlignment="1" applyProtection="1">
      <alignment horizontal="center" vertical="top"/>
    </xf>
    <xf numFmtId="164" fontId="8" fillId="2" borderId="1" xfId="0" applyNumberFormat="1" applyFont="1" applyFill="1" applyBorder="1" applyAlignment="1" applyProtection="1">
      <alignment vertical="top"/>
    </xf>
    <xf numFmtId="164" fontId="8" fillId="2" borderId="1" xfId="0" applyNumberFormat="1" applyFont="1" applyFill="1" applyBorder="1" applyAlignment="1" applyProtection="1">
      <alignment horizontal="left" vertical="top"/>
    </xf>
    <xf numFmtId="0" fontId="10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0" fontId="11" fillId="2" borderId="0" xfId="0" applyNumberFormat="1" applyFont="1" applyFill="1" applyBorder="1" applyAlignment="1" applyProtection="1">
      <alignment vertical="top"/>
    </xf>
    <xf numFmtId="0" fontId="10" fillId="2" borderId="0" xfId="0" applyNumberFormat="1" applyFont="1" applyFill="1" applyBorder="1" applyAlignment="1" applyProtection="1">
      <alignment vertical="top"/>
    </xf>
    <xf numFmtId="1" fontId="8" fillId="2" borderId="2" xfId="0" applyNumberFormat="1" applyFont="1" applyFill="1" applyBorder="1" applyAlignment="1" applyProtection="1">
      <alignment horizontal="center" vertical="top"/>
    </xf>
    <xf numFmtId="1" fontId="8" fillId="2" borderId="4" xfId="0" applyNumberFormat="1" applyFont="1" applyFill="1" applyBorder="1" applyAlignment="1" applyProtection="1">
      <alignment horizontal="center" vertical="top"/>
    </xf>
    <xf numFmtId="164" fontId="8" fillId="2" borderId="2" xfId="0" applyNumberFormat="1" applyFont="1" applyFill="1" applyBorder="1" applyAlignment="1" applyProtection="1">
      <alignment horizontal="center" vertical="top" wrapText="1"/>
    </xf>
    <xf numFmtId="164" fontId="8" fillId="2" borderId="4" xfId="0" applyNumberFormat="1" applyFont="1" applyFill="1" applyBorder="1" applyAlignment="1" applyProtection="1">
      <alignment horizontal="center" vertical="top" wrapText="1"/>
    </xf>
    <xf numFmtId="164" fontId="8" fillId="2" borderId="2" xfId="0" applyNumberFormat="1" applyFont="1" applyFill="1" applyBorder="1" applyAlignment="1" applyProtection="1">
      <alignment horizontal="center" vertical="top"/>
    </xf>
    <xf numFmtId="164" fontId="8" fillId="2" borderId="4" xfId="0" applyNumberFormat="1" applyFont="1" applyFill="1" applyBorder="1" applyAlignment="1" applyProtection="1">
      <alignment horizontal="center" vertical="top"/>
    </xf>
    <xf numFmtId="1" fontId="7" fillId="2" borderId="2" xfId="0" applyNumberFormat="1" applyFont="1" applyFill="1" applyBorder="1" applyAlignment="1" applyProtection="1">
      <alignment horizontal="center" vertical="top"/>
    </xf>
    <xf numFmtId="1" fontId="7" fillId="2" borderId="4" xfId="0" applyNumberFormat="1" applyFont="1" applyFill="1" applyBorder="1" applyAlignment="1" applyProtection="1">
      <alignment horizontal="center" vertical="top"/>
    </xf>
    <xf numFmtId="1" fontId="8" fillId="2" borderId="2" xfId="0" applyNumberFormat="1" applyFont="1" applyFill="1" applyBorder="1" applyAlignment="1" applyProtection="1">
      <alignment horizontal="center" vertical="top" wrapText="1"/>
    </xf>
    <xf numFmtId="1" fontId="8" fillId="2" borderId="4" xfId="0" applyNumberFormat="1" applyFont="1" applyFill="1" applyBorder="1" applyAlignment="1" applyProtection="1">
      <alignment horizontal="center" vertical="top" wrapText="1"/>
    </xf>
    <xf numFmtId="1" fontId="8" fillId="2" borderId="8" xfId="0" applyNumberFormat="1" applyFont="1" applyFill="1" applyBorder="1" applyAlignment="1" applyProtection="1">
      <alignment horizontal="center" vertical="top"/>
    </xf>
    <xf numFmtId="1" fontId="8" fillId="2" borderId="9" xfId="0" applyNumberFormat="1" applyFont="1" applyFill="1" applyBorder="1" applyAlignment="1" applyProtection="1">
      <alignment horizontal="center" vertical="top"/>
    </xf>
    <xf numFmtId="1" fontId="8" fillId="2" borderId="12" xfId="0" applyNumberFormat="1" applyFont="1" applyFill="1" applyBorder="1" applyAlignment="1" applyProtection="1">
      <alignment horizontal="center" vertical="top"/>
    </xf>
    <xf numFmtId="1" fontId="8" fillId="2" borderId="13" xfId="0" applyNumberFormat="1" applyFont="1" applyFill="1" applyBorder="1" applyAlignment="1" applyProtection="1">
      <alignment horizontal="center" vertical="top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center" vertical="top"/>
    </xf>
    <xf numFmtId="0" fontId="8" fillId="2" borderId="4" xfId="0" applyNumberFormat="1" applyFont="1" applyFill="1" applyBorder="1" applyAlignment="1" applyProtection="1">
      <alignment horizontal="center" vertical="top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7" fillId="0" borderId="6" xfId="0" applyNumberFormat="1" applyFont="1" applyFill="1" applyBorder="1" applyAlignment="1" applyProtection="1">
      <alignment horizontal="center" vertical="top" wrapText="1"/>
    </xf>
    <xf numFmtId="0" fontId="7" fillId="0" borderId="7" xfId="0" applyNumberFormat="1" applyFont="1" applyFill="1" applyBorder="1" applyAlignment="1" applyProtection="1">
      <alignment horizontal="center" vertical="top" wrapText="1"/>
    </xf>
    <xf numFmtId="0" fontId="8" fillId="2" borderId="1" xfId="0" applyNumberFormat="1" applyFont="1" applyFill="1" applyBorder="1" applyAlignment="1" applyProtection="1">
      <alignment vertical="top" wrapText="1"/>
    </xf>
    <xf numFmtId="0" fontId="8" fillId="0" borderId="1" xfId="0" applyNumberFormat="1" applyFont="1" applyFill="1" applyBorder="1" applyAlignment="1" applyProtection="1">
      <alignment horizontal="center" vertical="top" wrapText="1"/>
    </xf>
    <xf numFmtId="0" fontId="8" fillId="0" borderId="1" xfId="0" applyNumberFormat="1" applyFont="1" applyFill="1" applyBorder="1" applyAlignment="1" applyProtection="1">
      <alignment horizontal="left" vertical="top"/>
    </xf>
    <xf numFmtId="0" fontId="8" fillId="0" borderId="1" xfId="0" applyNumberFormat="1" applyFont="1" applyFill="1" applyBorder="1" applyAlignment="1" applyProtection="1">
      <alignment vertical="top" wrapText="1"/>
    </xf>
    <xf numFmtId="0" fontId="8" fillId="0" borderId="5" xfId="0" applyNumberFormat="1" applyFont="1" applyFill="1" applyBorder="1" applyAlignment="1" applyProtection="1">
      <alignment horizontal="left" vertical="top"/>
    </xf>
    <xf numFmtId="0" fontId="8" fillId="0" borderId="6" xfId="0" applyNumberFormat="1" applyFont="1" applyFill="1" applyBorder="1" applyAlignment="1" applyProtection="1">
      <alignment horizontal="left" vertical="top"/>
    </xf>
    <xf numFmtId="0" fontId="8" fillId="0" borderId="7" xfId="0" applyNumberFormat="1" applyFont="1" applyFill="1" applyBorder="1" applyAlignment="1" applyProtection="1">
      <alignment horizontal="left" vertical="top"/>
    </xf>
    <xf numFmtId="0" fontId="8" fillId="0" borderId="2" xfId="0" applyNumberFormat="1" applyFont="1" applyFill="1" applyBorder="1" applyAlignment="1" applyProtection="1">
      <alignment vertical="top" wrapText="1"/>
    </xf>
    <xf numFmtId="0" fontId="8" fillId="0" borderId="4" xfId="0" applyNumberFormat="1" applyFont="1" applyFill="1" applyBorder="1" applyAlignment="1" applyProtection="1">
      <alignment vertical="top" wrapText="1"/>
    </xf>
    <xf numFmtId="0" fontId="8" fillId="0" borderId="3" xfId="0" applyNumberFormat="1" applyFont="1" applyFill="1" applyBorder="1" applyAlignment="1" applyProtection="1">
      <alignment vertical="top" wrapText="1"/>
    </xf>
    <xf numFmtId="0" fontId="8" fillId="0" borderId="8" xfId="0" applyNumberFormat="1" applyFont="1" applyFill="1" applyBorder="1" applyAlignment="1" applyProtection="1">
      <alignment vertical="top" wrapText="1"/>
    </xf>
    <xf numFmtId="0" fontId="8" fillId="0" borderId="9" xfId="0" applyNumberFormat="1" applyFont="1" applyFill="1" applyBorder="1" applyAlignment="1" applyProtection="1">
      <alignment vertical="top" wrapText="1"/>
    </xf>
    <xf numFmtId="0" fontId="8" fillId="0" borderId="12" xfId="0" applyNumberFormat="1" applyFont="1" applyFill="1" applyBorder="1" applyAlignment="1" applyProtection="1">
      <alignment vertical="top" wrapText="1"/>
    </xf>
    <xf numFmtId="0" fontId="8" fillId="0" borderId="13" xfId="0" applyNumberFormat="1" applyFont="1" applyFill="1" applyBorder="1" applyAlignment="1" applyProtection="1">
      <alignment vertical="top" wrapText="1"/>
    </xf>
    <xf numFmtId="0" fontId="4" fillId="0" borderId="0" xfId="0" applyNumberFormat="1" applyFont="1" applyFill="1" applyBorder="1" applyAlignment="1" applyProtection="1">
      <alignment horizontal="center" vertical="top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top" wrapText="1"/>
    </xf>
    <xf numFmtId="0" fontId="8" fillId="0" borderId="6" xfId="0" applyNumberFormat="1" applyFont="1" applyFill="1" applyBorder="1" applyAlignment="1" applyProtection="1">
      <alignment horizontal="center" vertical="top" wrapText="1"/>
    </xf>
    <xf numFmtId="0" fontId="8" fillId="0" borderId="7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center" vertical="top"/>
    </xf>
    <xf numFmtId="0" fontId="7" fillId="0" borderId="3" xfId="0" applyNumberFormat="1" applyFont="1" applyFill="1" applyBorder="1" applyAlignment="1" applyProtection="1">
      <alignment horizontal="center" vertical="top"/>
    </xf>
    <xf numFmtId="0" fontId="7" fillId="0" borderId="4" xfId="0" applyNumberFormat="1" applyFont="1" applyFill="1" applyBorder="1" applyAlignment="1" applyProtection="1">
      <alignment horizontal="center" vertical="top"/>
    </xf>
    <xf numFmtId="0" fontId="8" fillId="0" borderId="10" xfId="0" applyNumberFormat="1" applyFont="1" applyFill="1" applyBorder="1" applyAlignment="1" applyProtection="1">
      <alignment vertical="top" wrapText="1"/>
    </xf>
    <xf numFmtId="0" fontId="8" fillId="0" borderId="11" xfId="0" applyNumberFormat="1" applyFont="1" applyFill="1" applyBorder="1" applyAlignment="1" applyProtection="1">
      <alignment vertical="top" wrapText="1"/>
    </xf>
    <xf numFmtId="0" fontId="7" fillId="0" borderId="8" xfId="0" applyNumberFormat="1" applyFont="1" applyFill="1" applyBorder="1" applyAlignment="1" applyProtection="1">
      <alignment horizontal="center" vertical="top"/>
    </xf>
    <xf numFmtId="0" fontId="7" fillId="0" borderId="14" xfId="0" applyNumberFormat="1" applyFont="1" applyFill="1" applyBorder="1" applyAlignment="1" applyProtection="1">
      <alignment horizontal="center" vertical="top"/>
    </xf>
    <xf numFmtId="0" fontId="7" fillId="0" borderId="9" xfId="0" applyNumberFormat="1" applyFont="1" applyFill="1" applyBorder="1" applyAlignment="1" applyProtection="1">
      <alignment horizontal="center" vertical="top"/>
    </xf>
    <xf numFmtId="0" fontId="7" fillId="0" borderId="10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center" vertical="top"/>
    </xf>
    <xf numFmtId="0" fontId="7" fillId="0" borderId="11" xfId="0" applyNumberFormat="1" applyFont="1" applyFill="1" applyBorder="1" applyAlignment="1" applyProtection="1">
      <alignment horizontal="center" vertical="top"/>
    </xf>
    <xf numFmtId="0" fontId="7" fillId="0" borderId="12" xfId="0" applyNumberFormat="1" applyFont="1" applyFill="1" applyBorder="1" applyAlignment="1" applyProtection="1">
      <alignment horizontal="center" vertical="top"/>
    </xf>
    <xf numFmtId="0" fontId="7" fillId="0" borderId="15" xfId="0" applyNumberFormat="1" applyFont="1" applyFill="1" applyBorder="1" applyAlignment="1" applyProtection="1">
      <alignment horizontal="center" vertical="top"/>
    </xf>
    <xf numFmtId="0" fontId="7" fillId="0" borderId="13" xfId="0" applyNumberFormat="1" applyFont="1" applyFill="1" applyBorder="1" applyAlignment="1" applyProtection="1">
      <alignment horizontal="center" vertical="top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/>
    </xf>
    <xf numFmtId="0" fontId="7" fillId="2" borderId="7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left" wrapText="1"/>
    </xf>
    <xf numFmtId="0" fontId="7" fillId="0" borderId="2" xfId="0" applyNumberFormat="1" applyFont="1" applyFill="1" applyBorder="1" applyAlignment="1" applyProtection="1">
      <alignment vertical="top" wrapText="1"/>
    </xf>
    <xf numFmtId="0" fontId="7" fillId="0" borderId="4" xfId="0" applyNumberFormat="1" applyFont="1" applyFill="1" applyBorder="1" applyAlignment="1" applyProtection="1">
      <alignment vertical="top" wrapText="1"/>
    </xf>
    <xf numFmtId="0" fontId="9" fillId="0" borderId="0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8" fillId="0" borderId="5" xfId="0" applyNumberFormat="1" applyFont="1" applyFill="1" applyBorder="1" applyAlignment="1" applyProtection="1">
      <alignment horizontal="center" vertical="top"/>
    </xf>
    <xf numFmtId="0" fontId="8" fillId="0" borderId="6" xfId="0" applyNumberFormat="1" applyFont="1" applyFill="1" applyBorder="1" applyAlignment="1" applyProtection="1">
      <alignment horizontal="center" vertical="top"/>
    </xf>
    <xf numFmtId="0" fontId="8" fillId="0" borderId="7" xfId="0" applyNumberFormat="1" applyFont="1" applyFill="1" applyBorder="1" applyAlignment="1" applyProtection="1">
      <alignment horizontal="center" vertical="top"/>
    </xf>
    <xf numFmtId="1" fontId="8" fillId="2" borderId="5" xfId="0" applyNumberFormat="1" applyFont="1" applyFill="1" applyBorder="1" applyAlignment="1" applyProtection="1">
      <alignment horizontal="center" vertical="top"/>
    </xf>
    <xf numFmtId="1" fontId="8" fillId="2" borderId="7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7"/>
  <sheetViews>
    <sheetView tabSelected="1" zoomScale="112" zoomScaleNormal="112" workbookViewId="0">
      <pane xSplit="4" ySplit="4" topLeftCell="E35" activePane="bottomRight" state="frozen"/>
      <selection pane="topRight" activeCell="E1" sqref="E1"/>
      <selection pane="bottomLeft" activeCell="A9" sqref="A9"/>
      <selection pane="bottomRight" activeCell="H54" sqref="H54"/>
    </sheetView>
  </sheetViews>
  <sheetFormatPr defaultRowHeight="18.75" x14ac:dyDescent="0.2"/>
  <cols>
    <col min="1" max="1" width="6.140625" customWidth="1"/>
    <col min="2" max="2" width="4" customWidth="1"/>
    <col min="3" max="3" width="6" customWidth="1"/>
    <col min="4" max="4" width="55.28515625" customWidth="1"/>
    <col min="5" max="5" width="15.28515625" style="4" customWidth="1"/>
    <col min="6" max="6" width="16.7109375" customWidth="1"/>
    <col min="7" max="7" width="17.7109375" customWidth="1"/>
    <col min="8" max="8" width="16.7109375" customWidth="1"/>
    <col min="9" max="9" width="16.5703125" customWidth="1"/>
    <col min="10" max="10" width="14" customWidth="1"/>
    <col min="11" max="11" width="2" customWidth="1"/>
    <col min="12" max="12" width="16.5703125" customWidth="1"/>
    <col min="13" max="13" width="15" customWidth="1"/>
    <col min="14" max="14" width="1.28515625" customWidth="1"/>
    <col min="15" max="15" width="16.28515625" customWidth="1"/>
    <col min="16" max="16" width="13.7109375" customWidth="1"/>
    <col min="17" max="17" width="3.85546875" customWidth="1"/>
  </cols>
  <sheetData>
    <row r="1" spans="1:17" x14ac:dyDescent="0.2">
      <c r="A1" s="5" t="s">
        <v>0</v>
      </c>
      <c r="B1" s="2"/>
      <c r="C1" s="2"/>
      <c r="D1" s="2"/>
      <c r="F1" s="1">
        <v>2018</v>
      </c>
      <c r="G1" s="1">
        <v>2019</v>
      </c>
      <c r="H1" s="1">
        <v>2020</v>
      </c>
      <c r="I1" s="72">
        <v>2021</v>
      </c>
      <c r="J1" s="72"/>
      <c r="K1" s="1"/>
      <c r="L1" s="72">
        <v>2022</v>
      </c>
      <c r="M1" s="72"/>
      <c r="N1" s="1"/>
      <c r="O1" s="72">
        <v>2023</v>
      </c>
      <c r="P1" s="72"/>
    </row>
    <row r="2" spans="1:17" ht="20.25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0.25" x14ac:dyDescent="0.2">
      <c r="A3" s="6" t="s">
        <v>87</v>
      </c>
      <c r="B3" s="6"/>
      <c r="C3" s="6"/>
      <c r="D3" s="6"/>
      <c r="E3" s="6"/>
      <c r="F3" s="6"/>
      <c r="G3" s="6"/>
      <c r="H3" s="6"/>
      <c r="I3" s="6"/>
      <c r="J3" s="6"/>
      <c r="K3" s="6"/>
      <c r="L3" s="13"/>
      <c r="M3" s="13"/>
      <c r="N3" s="13"/>
      <c r="O3" s="13"/>
      <c r="P3" s="13"/>
      <c r="Q3" s="13"/>
    </row>
    <row r="4" spans="1:17" ht="11.25" customHeight="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24" customHeight="1" x14ac:dyDescent="0.2">
      <c r="A5" s="55" t="s">
        <v>1</v>
      </c>
      <c r="B5" s="82" t="s">
        <v>71</v>
      </c>
      <c r="C5" s="83"/>
      <c r="D5" s="84"/>
      <c r="E5" s="55" t="s">
        <v>2</v>
      </c>
      <c r="F5" s="92" t="s">
        <v>85</v>
      </c>
      <c r="G5" s="92" t="s">
        <v>82</v>
      </c>
      <c r="H5" s="92" t="s">
        <v>86</v>
      </c>
      <c r="I5" s="73" t="s">
        <v>3</v>
      </c>
      <c r="J5" s="73"/>
      <c r="K5" s="73"/>
      <c r="L5" s="73"/>
      <c r="M5" s="73"/>
      <c r="N5" s="73"/>
      <c r="O5" s="73"/>
      <c r="P5" s="73"/>
      <c r="Q5" s="73"/>
    </row>
    <row r="6" spans="1:17" ht="17.25" customHeight="1" x14ac:dyDescent="0.2">
      <c r="A6" s="56"/>
      <c r="B6" s="85"/>
      <c r="C6" s="86"/>
      <c r="D6" s="87"/>
      <c r="E6" s="56"/>
      <c r="F6" s="93"/>
      <c r="G6" s="93"/>
      <c r="H6" s="93"/>
      <c r="I6" s="51">
        <v>2022</v>
      </c>
      <c r="J6" s="91"/>
      <c r="K6" s="52"/>
      <c r="L6" s="51">
        <v>2023</v>
      </c>
      <c r="M6" s="91"/>
      <c r="N6" s="52"/>
      <c r="O6" s="51">
        <v>2024</v>
      </c>
      <c r="P6" s="91"/>
      <c r="Q6" s="52"/>
    </row>
    <row r="7" spans="1:17" ht="39" customHeight="1" x14ac:dyDescent="0.2">
      <c r="A7" s="57"/>
      <c r="B7" s="88"/>
      <c r="C7" s="89"/>
      <c r="D7" s="90"/>
      <c r="E7" s="57"/>
      <c r="F7" s="7" t="s">
        <v>4</v>
      </c>
      <c r="G7" s="7" t="s">
        <v>4</v>
      </c>
      <c r="H7" s="7" t="s">
        <v>5</v>
      </c>
      <c r="I7" s="19" t="s">
        <v>72</v>
      </c>
      <c r="J7" s="51" t="s">
        <v>73</v>
      </c>
      <c r="K7" s="52"/>
      <c r="L7" s="19" t="s">
        <v>72</v>
      </c>
      <c r="M7" s="51" t="s">
        <v>73</v>
      </c>
      <c r="N7" s="52"/>
      <c r="O7" s="19" t="s">
        <v>72</v>
      </c>
      <c r="P7" s="51" t="s">
        <v>73</v>
      </c>
      <c r="Q7" s="52"/>
    </row>
    <row r="8" spans="1:17" ht="18.75" customHeight="1" x14ac:dyDescent="0.2">
      <c r="A8" s="8">
        <v>1</v>
      </c>
      <c r="B8" s="77">
        <v>2</v>
      </c>
      <c r="C8" s="78"/>
      <c r="D8" s="79"/>
      <c r="E8" s="9">
        <v>3</v>
      </c>
      <c r="F8" s="7">
        <v>4</v>
      </c>
      <c r="G8" s="7">
        <v>5</v>
      </c>
      <c r="H8" s="7">
        <v>6</v>
      </c>
      <c r="I8" s="19">
        <v>7</v>
      </c>
      <c r="J8" s="51">
        <v>8</v>
      </c>
      <c r="K8" s="52"/>
      <c r="L8" s="19">
        <v>9</v>
      </c>
      <c r="M8" s="51">
        <v>10</v>
      </c>
      <c r="N8" s="52"/>
      <c r="O8" s="19">
        <v>11</v>
      </c>
      <c r="P8" s="51">
        <v>12</v>
      </c>
      <c r="Q8" s="52"/>
    </row>
    <row r="9" spans="1:17" ht="46.5" customHeight="1" x14ac:dyDescent="0.2">
      <c r="A9" s="17" t="s">
        <v>6</v>
      </c>
      <c r="B9" s="65" t="s">
        <v>77</v>
      </c>
      <c r="C9" s="67"/>
      <c r="D9" s="66"/>
      <c r="E9" s="16"/>
      <c r="F9" s="20">
        <v>36</v>
      </c>
      <c r="G9" s="20">
        <v>37</v>
      </c>
      <c r="H9" s="20">
        <v>37</v>
      </c>
      <c r="I9" s="20">
        <v>37</v>
      </c>
      <c r="J9" s="21">
        <v>37</v>
      </c>
      <c r="K9" s="22"/>
      <c r="L9" s="20">
        <v>37</v>
      </c>
      <c r="M9" s="21">
        <v>37</v>
      </c>
      <c r="N9" s="22"/>
      <c r="O9" s="20">
        <v>37</v>
      </c>
      <c r="P9" s="21">
        <v>37</v>
      </c>
      <c r="Q9" s="22"/>
    </row>
    <row r="10" spans="1:17" ht="45.75" customHeight="1" x14ac:dyDescent="0.2">
      <c r="A10" s="17" t="s">
        <v>7</v>
      </c>
      <c r="B10" s="65" t="s">
        <v>8</v>
      </c>
      <c r="C10" s="67"/>
      <c r="D10" s="66"/>
      <c r="E10" s="16" t="s">
        <v>9</v>
      </c>
      <c r="F10" s="20">
        <v>1754</v>
      </c>
      <c r="G10" s="20">
        <v>1798</v>
      </c>
      <c r="H10" s="20">
        <v>1798</v>
      </c>
      <c r="I10" s="20">
        <v>1798</v>
      </c>
      <c r="J10" s="21">
        <v>1798</v>
      </c>
      <c r="K10" s="22"/>
      <c r="L10" s="20">
        <v>1798</v>
      </c>
      <c r="M10" s="21">
        <v>1798</v>
      </c>
      <c r="N10" s="22"/>
      <c r="O10" s="20">
        <v>1798</v>
      </c>
      <c r="P10" s="21">
        <v>1798</v>
      </c>
      <c r="Q10" s="22"/>
    </row>
    <row r="11" spans="1:17" ht="27" customHeight="1" x14ac:dyDescent="0.2">
      <c r="A11" s="62" t="s">
        <v>10</v>
      </c>
      <c r="B11" s="65" t="s">
        <v>11</v>
      </c>
      <c r="C11" s="67"/>
      <c r="D11" s="66"/>
      <c r="E11" s="74" t="s">
        <v>12</v>
      </c>
      <c r="F11" s="20">
        <v>800</v>
      </c>
      <c r="G11" s="20">
        <v>1209</v>
      </c>
      <c r="H11" s="20">
        <v>1209</v>
      </c>
      <c r="I11" s="20">
        <v>1209</v>
      </c>
      <c r="J11" s="21">
        <v>1209</v>
      </c>
      <c r="K11" s="22"/>
      <c r="L11" s="20">
        <v>1209</v>
      </c>
      <c r="M11" s="21">
        <v>1209</v>
      </c>
      <c r="N11" s="22"/>
      <c r="O11" s="20">
        <v>1209</v>
      </c>
      <c r="P11" s="21">
        <v>1209</v>
      </c>
      <c r="Q11" s="22"/>
    </row>
    <row r="12" spans="1:17" ht="27" customHeight="1" x14ac:dyDescent="0.2">
      <c r="A12" s="63"/>
      <c r="B12" s="68" t="s">
        <v>13</v>
      </c>
      <c r="C12" s="69"/>
      <c r="D12" s="18" t="s">
        <v>14</v>
      </c>
      <c r="E12" s="75"/>
      <c r="F12" s="20">
        <v>77</v>
      </c>
      <c r="G12" s="20">
        <v>75</v>
      </c>
      <c r="H12" s="20">
        <v>75</v>
      </c>
      <c r="I12" s="20">
        <v>75</v>
      </c>
      <c r="J12" s="21">
        <v>75</v>
      </c>
      <c r="K12" s="22"/>
      <c r="L12" s="20">
        <v>75</v>
      </c>
      <c r="M12" s="37">
        <v>75</v>
      </c>
      <c r="N12" s="38"/>
      <c r="O12" s="20">
        <v>75</v>
      </c>
      <c r="P12" s="37">
        <v>75</v>
      </c>
      <c r="Q12" s="38"/>
    </row>
    <row r="13" spans="1:17" ht="20.25" x14ac:dyDescent="0.2">
      <c r="A13" s="64"/>
      <c r="B13" s="70"/>
      <c r="C13" s="71"/>
      <c r="D13" s="18" t="s">
        <v>15</v>
      </c>
      <c r="E13" s="76"/>
      <c r="F13" s="20"/>
      <c r="G13" s="23"/>
      <c r="H13" s="23"/>
      <c r="I13" s="23"/>
      <c r="J13" s="37"/>
      <c r="K13" s="38"/>
      <c r="L13" s="23"/>
      <c r="M13" s="37"/>
      <c r="N13" s="38"/>
      <c r="O13" s="23"/>
      <c r="P13" s="37"/>
      <c r="Q13" s="38"/>
    </row>
    <row r="14" spans="1:17" ht="32.25" customHeight="1" x14ac:dyDescent="0.2">
      <c r="A14" s="62" t="s">
        <v>16</v>
      </c>
      <c r="B14" s="65" t="s">
        <v>17</v>
      </c>
      <c r="C14" s="67"/>
      <c r="D14" s="66"/>
      <c r="E14" s="74" t="s">
        <v>79</v>
      </c>
      <c r="F14" s="20">
        <v>365</v>
      </c>
      <c r="G14" s="20">
        <v>517</v>
      </c>
      <c r="H14" s="20">
        <v>517</v>
      </c>
      <c r="I14" s="20">
        <v>517</v>
      </c>
      <c r="J14" s="37">
        <v>517</v>
      </c>
      <c r="K14" s="38"/>
      <c r="L14" s="20">
        <v>517</v>
      </c>
      <c r="M14" s="37">
        <v>517</v>
      </c>
      <c r="N14" s="38"/>
      <c r="O14" s="20">
        <v>517</v>
      </c>
      <c r="P14" s="37">
        <v>517</v>
      </c>
      <c r="Q14" s="38"/>
    </row>
    <row r="15" spans="1:17" ht="26.25" customHeight="1" x14ac:dyDescent="0.2">
      <c r="A15" s="63"/>
      <c r="B15" s="68" t="s">
        <v>13</v>
      </c>
      <c r="C15" s="69"/>
      <c r="D15" s="18" t="s">
        <v>18</v>
      </c>
      <c r="E15" s="75"/>
      <c r="F15" s="20">
        <v>24</v>
      </c>
      <c r="G15" s="20">
        <v>42</v>
      </c>
      <c r="H15" s="20">
        <v>42</v>
      </c>
      <c r="I15" s="20">
        <v>42</v>
      </c>
      <c r="J15" s="37">
        <v>42</v>
      </c>
      <c r="K15" s="38"/>
      <c r="L15" s="20">
        <v>42</v>
      </c>
      <c r="M15" s="37">
        <v>42</v>
      </c>
      <c r="N15" s="38"/>
      <c r="O15" s="20">
        <v>42</v>
      </c>
      <c r="P15" s="37">
        <v>42</v>
      </c>
      <c r="Q15" s="38"/>
    </row>
    <row r="16" spans="1:17" ht="20.25" x14ac:dyDescent="0.2">
      <c r="A16" s="63"/>
      <c r="B16" s="80"/>
      <c r="C16" s="81"/>
      <c r="D16" s="18" t="s">
        <v>19</v>
      </c>
      <c r="E16" s="75"/>
      <c r="F16" s="20"/>
      <c r="G16" s="23"/>
      <c r="H16" s="20"/>
      <c r="I16" s="23"/>
      <c r="J16" s="37"/>
      <c r="K16" s="38"/>
      <c r="L16" s="23"/>
      <c r="M16" s="37"/>
      <c r="N16" s="38"/>
      <c r="O16" s="23"/>
      <c r="P16" s="37"/>
      <c r="Q16" s="38"/>
    </row>
    <row r="17" spans="1:17" ht="20.25" x14ac:dyDescent="0.2">
      <c r="A17" s="63"/>
      <c r="B17" s="80"/>
      <c r="C17" s="81"/>
      <c r="D17" s="18" t="s">
        <v>20</v>
      </c>
      <c r="E17" s="75"/>
      <c r="F17" s="20"/>
      <c r="G17" s="23"/>
      <c r="H17" s="23"/>
      <c r="I17" s="23"/>
      <c r="J17" s="37"/>
      <c r="K17" s="38"/>
      <c r="L17" s="23"/>
      <c r="M17" s="37"/>
      <c r="N17" s="38"/>
      <c r="O17" s="23"/>
      <c r="P17" s="37"/>
      <c r="Q17" s="38"/>
    </row>
    <row r="18" spans="1:17" ht="20.25" x14ac:dyDescent="0.2">
      <c r="A18" s="63"/>
      <c r="B18" s="80"/>
      <c r="C18" s="81"/>
      <c r="D18" s="18" t="s">
        <v>21</v>
      </c>
      <c r="E18" s="75"/>
      <c r="F18" s="20"/>
      <c r="G18" s="23"/>
      <c r="H18" s="23"/>
      <c r="I18" s="23"/>
      <c r="J18" s="37"/>
      <c r="K18" s="38"/>
      <c r="L18" s="23"/>
      <c r="M18" s="37"/>
      <c r="N18" s="38"/>
      <c r="O18" s="23"/>
      <c r="P18" s="37"/>
      <c r="Q18" s="38"/>
    </row>
    <row r="19" spans="1:17" ht="20.25" x14ac:dyDescent="0.2">
      <c r="A19" s="63"/>
      <c r="B19" s="80"/>
      <c r="C19" s="81"/>
      <c r="D19" s="18" t="s">
        <v>22</v>
      </c>
      <c r="E19" s="75"/>
      <c r="F19" s="20"/>
      <c r="G19" s="23"/>
      <c r="H19" s="23"/>
      <c r="I19" s="23"/>
      <c r="J19" s="37"/>
      <c r="K19" s="38"/>
      <c r="L19" s="23"/>
      <c r="M19" s="37"/>
      <c r="N19" s="38"/>
      <c r="O19" s="23"/>
      <c r="P19" s="37"/>
      <c r="Q19" s="38"/>
    </row>
    <row r="20" spans="1:17" ht="24" customHeight="1" x14ac:dyDescent="0.2">
      <c r="A20" s="64"/>
      <c r="B20" s="70"/>
      <c r="C20" s="71"/>
      <c r="D20" s="18" t="s">
        <v>23</v>
      </c>
      <c r="E20" s="76"/>
      <c r="F20" s="20"/>
      <c r="G20" s="23"/>
      <c r="H20" s="23"/>
      <c r="I20" s="23"/>
      <c r="J20" s="37"/>
      <c r="K20" s="38"/>
      <c r="L20" s="23"/>
      <c r="M20" s="37"/>
      <c r="N20" s="38"/>
      <c r="O20" s="23"/>
      <c r="P20" s="37"/>
      <c r="Q20" s="38"/>
    </row>
    <row r="21" spans="1:17" ht="30" customHeight="1" x14ac:dyDescent="0.2">
      <c r="A21" s="17" t="s">
        <v>24</v>
      </c>
      <c r="B21" s="65" t="s">
        <v>25</v>
      </c>
      <c r="C21" s="67"/>
      <c r="D21" s="66"/>
      <c r="E21" s="16" t="s">
        <v>26</v>
      </c>
      <c r="F21" s="24">
        <v>0.27</v>
      </c>
      <c r="G21" s="24">
        <v>0.21</v>
      </c>
      <c r="H21" s="24">
        <v>0.21</v>
      </c>
      <c r="I21" s="24">
        <v>0.21</v>
      </c>
      <c r="J21" s="53">
        <v>0.21</v>
      </c>
      <c r="K21" s="54"/>
      <c r="L21" s="24">
        <v>0.21</v>
      </c>
      <c r="M21" s="53">
        <v>0.21</v>
      </c>
      <c r="N21" s="54"/>
      <c r="O21" s="24">
        <v>0.21</v>
      </c>
      <c r="P21" s="53">
        <v>0.21</v>
      </c>
      <c r="Q21" s="54"/>
    </row>
    <row r="22" spans="1:17" ht="37.5" customHeight="1" x14ac:dyDescent="0.2">
      <c r="A22" s="101" t="s">
        <v>27</v>
      </c>
      <c r="B22" s="65" t="s">
        <v>28</v>
      </c>
      <c r="C22" s="67"/>
      <c r="D22" s="66"/>
      <c r="E22" s="74" t="s">
        <v>9</v>
      </c>
      <c r="F22" s="25">
        <f>F23+F29</f>
        <v>24399</v>
      </c>
      <c r="G22" s="25">
        <f>G23+G29</f>
        <v>42445</v>
      </c>
      <c r="H22" s="20">
        <f>H23+H29</f>
        <v>43935.555999999997</v>
      </c>
      <c r="I22" s="20">
        <f>I23+I29</f>
        <v>46073.162000000004</v>
      </c>
      <c r="J22" s="37">
        <f>J23+J29</f>
        <v>48192.358000000007</v>
      </c>
      <c r="K22" s="38"/>
      <c r="L22" s="20">
        <f t="shared" ref="L22:P22" si="0">L23+L29</f>
        <v>48843.167999999998</v>
      </c>
      <c r="M22" s="37">
        <f t="shared" si="0"/>
        <v>50850.767999999996</v>
      </c>
      <c r="N22" s="38"/>
      <c r="O22" s="20">
        <f t="shared" si="0"/>
        <v>51518.896000000001</v>
      </c>
      <c r="P22" s="37">
        <f t="shared" si="0"/>
        <v>53631.278999999995</v>
      </c>
      <c r="Q22" s="38"/>
    </row>
    <row r="23" spans="1:17" ht="47.25" customHeight="1" x14ac:dyDescent="0.2">
      <c r="A23" s="102"/>
      <c r="B23" s="74" t="s">
        <v>29</v>
      </c>
      <c r="C23" s="65" t="s">
        <v>30</v>
      </c>
      <c r="D23" s="66"/>
      <c r="E23" s="75"/>
      <c r="F23" s="20">
        <v>1338</v>
      </c>
      <c r="G23" s="20">
        <v>105</v>
      </c>
      <c r="H23" s="20">
        <f t="shared" ref="H23:P23" si="1">H24+H25</f>
        <v>198.33599999999998</v>
      </c>
      <c r="I23" s="20">
        <f t="shared" si="1"/>
        <v>324.26</v>
      </c>
      <c r="J23" s="37">
        <f t="shared" si="1"/>
        <v>338.904</v>
      </c>
      <c r="K23" s="38"/>
      <c r="L23" s="20">
        <f t="shared" si="1"/>
        <v>415.93200000000002</v>
      </c>
      <c r="M23" s="37">
        <f t="shared" si="1"/>
        <v>438.26099999999997</v>
      </c>
      <c r="N23" s="38"/>
      <c r="O23" s="20">
        <f t="shared" si="1"/>
        <v>500.94000000000005</v>
      </c>
      <c r="P23" s="37">
        <f t="shared" si="1"/>
        <v>521.54099999999994</v>
      </c>
      <c r="Q23" s="38"/>
    </row>
    <row r="24" spans="1:17" ht="29.25" customHeight="1" x14ac:dyDescent="0.2">
      <c r="A24" s="102"/>
      <c r="B24" s="75"/>
      <c r="C24" s="65" t="s">
        <v>31</v>
      </c>
      <c r="D24" s="66"/>
      <c r="E24" s="75"/>
      <c r="F24" s="20">
        <v>309</v>
      </c>
      <c r="G24" s="20">
        <v>67</v>
      </c>
      <c r="H24" s="20">
        <f>100*H56</f>
        <v>103.3</v>
      </c>
      <c r="I24" s="20">
        <f>160*I56</f>
        <v>167.36</v>
      </c>
      <c r="J24" s="37">
        <f>167*J56</f>
        <v>174.68200000000002</v>
      </c>
      <c r="K24" s="38"/>
      <c r="L24" s="20">
        <f>227*L56</f>
        <v>229.72399999999999</v>
      </c>
      <c r="M24" s="37">
        <f>235*M56</f>
        <v>244.63499999999999</v>
      </c>
      <c r="N24" s="38"/>
      <c r="O24" s="20">
        <f>280*O56</f>
        <v>283.36</v>
      </c>
      <c r="P24" s="37">
        <f>283*P56</f>
        <v>294.60299999999995</v>
      </c>
      <c r="Q24" s="38"/>
    </row>
    <row r="25" spans="1:17" ht="33.75" customHeight="1" x14ac:dyDescent="0.2">
      <c r="A25" s="102"/>
      <c r="B25" s="75"/>
      <c r="C25" s="65" t="s">
        <v>32</v>
      </c>
      <c r="D25" s="66"/>
      <c r="E25" s="75"/>
      <c r="F25" s="20">
        <v>1029</v>
      </c>
      <c r="G25" s="20">
        <v>38</v>
      </c>
      <c r="H25" s="20">
        <f>92*H56</f>
        <v>95.035999999999987</v>
      </c>
      <c r="I25" s="20">
        <f>150*I56</f>
        <v>156.9</v>
      </c>
      <c r="J25" s="37">
        <f>157*J56</f>
        <v>164.22200000000001</v>
      </c>
      <c r="K25" s="38"/>
      <c r="L25" s="20">
        <f>184*L56</f>
        <v>186.208</v>
      </c>
      <c r="M25" s="37">
        <f>186*M56</f>
        <v>193.62599999999998</v>
      </c>
      <c r="N25" s="38"/>
      <c r="O25" s="20">
        <f>215*O56</f>
        <v>217.58</v>
      </c>
      <c r="P25" s="37">
        <f>218*P56</f>
        <v>226.93799999999999</v>
      </c>
      <c r="Q25" s="38"/>
    </row>
    <row r="26" spans="1:17" ht="18.75" customHeight="1" x14ac:dyDescent="0.2">
      <c r="A26" s="102"/>
      <c r="B26" s="75"/>
      <c r="C26" s="65" t="s">
        <v>33</v>
      </c>
      <c r="D26" s="66"/>
      <c r="E26" s="75"/>
      <c r="F26" s="20"/>
      <c r="G26" s="23"/>
      <c r="H26" s="20"/>
      <c r="I26" s="23"/>
      <c r="J26" s="37"/>
      <c r="K26" s="38"/>
      <c r="L26" s="23"/>
      <c r="M26" s="37"/>
      <c r="N26" s="38"/>
      <c r="O26" s="23"/>
      <c r="P26" s="37"/>
      <c r="Q26" s="38"/>
    </row>
    <row r="27" spans="1:17" ht="23.25" customHeight="1" x14ac:dyDescent="0.2">
      <c r="A27" s="102"/>
      <c r="B27" s="75"/>
      <c r="C27" s="65" t="s">
        <v>31</v>
      </c>
      <c r="D27" s="66"/>
      <c r="E27" s="75"/>
      <c r="F27" s="20"/>
      <c r="G27" s="23"/>
      <c r="H27" s="20"/>
      <c r="I27" s="23"/>
      <c r="J27" s="37"/>
      <c r="K27" s="38"/>
      <c r="L27" s="23"/>
      <c r="M27" s="37"/>
      <c r="N27" s="38"/>
      <c r="O27" s="23"/>
      <c r="P27" s="37"/>
      <c r="Q27" s="38"/>
    </row>
    <row r="28" spans="1:17" ht="24.75" customHeight="1" x14ac:dyDescent="0.2">
      <c r="A28" s="102"/>
      <c r="B28" s="75"/>
      <c r="C28" s="65" t="s">
        <v>34</v>
      </c>
      <c r="D28" s="66"/>
      <c r="E28" s="75"/>
      <c r="F28" s="20"/>
      <c r="G28" s="23"/>
      <c r="H28" s="20"/>
      <c r="I28" s="23"/>
      <c r="J28" s="37"/>
      <c r="K28" s="38"/>
      <c r="L28" s="23"/>
      <c r="M28" s="37"/>
      <c r="N28" s="38"/>
      <c r="O28" s="23"/>
      <c r="P28" s="37"/>
      <c r="Q28" s="38"/>
    </row>
    <row r="29" spans="1:17" ht="49.5" customHeight="1" x14ac:dyDescent="0.2">
      <c r="A29" s="102"/>
      <c r="B29" s="75"/>
      <c r="C29" s="65" t="s">
        <v>35</v>
      </c>
      <c r="D29" s="66"/>
      <c r="E29" s="75"/>
      <c r="F29" s="25">
        <v>23061</v>
      </c>
      <c r="G29" s="25">
        <v>42340</v>
      </c>
      <c r="H29" s="25">
        <f>42340*H56</f>
        <v>43737.219999999994</v>
      </c>
      <c r="I29" s="25">
        <f>43737*I56</f>
        <v>45748.902000000002</v>
      </c>
      <c r="J29" s="45">
        <f>45749*J56</f>
        <v>47853.454000000005</v>
      </c>
      <c r="K29" s="46"/>
      <c r="L29" s="25">
        <f>47853*L56</f>
        <v>48427.235999999997</v>
      </c>
      <c r="M29" s="45">
        <f>48427*M56</f>
        <v>50412.506999999998</v>
      </c>
      <c r="N29" s="46"/>
      <c r="O29" s="25">
        <f>50413*O56</f>
        <v>51017.955999999998</v>
      </c>
      <c r="P29" s="45">
        <f>51018*P56</f>
        <v>53109.737999999998</v>
      </c>
      <c r="Q29" s="46"/>
    </row>
    <row r="30" spans="1:17" ht="31.5" customHeight="1" x14ac:dyDescent="0.2">
      <c r="A30" s="102"/>
      <c r="B30" s="75"/>
      <c r="C30" s="65" t="s">
        <v>36</v>
      </c>
      <c r="D30" s="66"/>
      <c r="E30" s="75"/>
      <c r="F30" s="25">
        <f>38+932+480</f>
        <v>1450</v>
      </c>
      <c r="G30" s="25">
        <f>750+932+30</f>
        <v>1712</v>
      </c>
      <c r="H30" s="20">
        <f>1812*H56</f>
        <v>1871.7959999999998</v>
      </c>
      <c r="I30" s="20">
        <f>1972*I56</f>
        <v>2062.712</v>
      </c>
      <c r="J30" s="37">
        <f>2063*J56</f>
        <v>2157.8980000000001</v>
      </c>
      <c r="K30" s="38"/>
      <c r="L30" s="20">
        <f>2258*L56</f>
        <v>2285.096</v>
      </c>
      <c r="M30" s="37">
        <f>2285*M56</f>
        <v>2378.6849999999999</v>
      </c>
      <c r="N30" s="38"/>
      <c r="O30" s="20">
        <f>2479*O56</f>
        <v>2508.748</v>
      </c>
      <c r="P30" s="37">
        <f>2509*P56</f>
        <v>2611.8689999999997</v>
      </c>
      <c r="Q30" s="38"/>
    </row>
    <row r="31" spans="1:17" ht="42" customHeight="1" x14ac:dyDescent="0.2">
      <c r="A31" s="102"/>
      <c r="B31" s="75"/>
      <c r="C31" s="68" t="s">
        <v>37</v>
      </c>
      <c r="D31" s="69"/>
      <c r="E31" s="75"/>
      <c r="F31" s="104"/>
      <c r="G31" s="104"/>
      <c r="H31" s="104"/>
      <c r="I31" s="104"/>
      <c r="J31" s="47"/>
      <c r="K31" s="48"/>
      <c r="L31" s="104"/>
      <c r="M31" s="47"/>
      <c r="N31" s="48"/>
      <c r="O31" s="26"/>
      <c r="P31" s="47"/>
      <c r="Q31" s="48"/>
    </row>
    <row r="32" spans="1:17" ht="6" customHeight="1" x14ac:dyDescent="0.2">
      <c r="A32" s="103"/>
      <c r="B32" s="76"/>
      <c r="C32" s="70"/>
      <c r="D32" s="71"/>
      <c r="E32" s="76"/>
      <c r="F32" s="105"/>
      <c r="G32" s="105"/>
      <c r="H32" s="105"/>
      <c r="I32" s="105"/>
      <c r="J32" s="49"/>
      <c r="K32" s="50"/>
      <c r="L32" s="105"/>
      <c r="M32" s="49"/>
      <c r="N32" s="50"/>
      <c r="O32" s="27"/>
      <c r="P32" s="49"/>
      <c r="Q32" s="50"/>
    </row>
    <row r="33" spans="1:17" ht="26.25" customHeight="1" x14ac:dyDescent="0.2">
      <c r="A33" s="10" t="s">
        <v>38</v>
      </c>
      <c r="B33" s="98" t="s">
        <v>39</v>
      </c>
      <c r="C33" s="99"/>
      <c r="D33" s="100"/>
      <c r="E33" s="9" t="s">
        <v>40</v>
      </c>
      <c r="F33" s="28">
        <v>4</v>
      </c>
      <c r="G33" s="28">
        <v>5</v>
      </c>
      <c r="H33" s="28">
        <v>6</v>
      </c>
      <c r="I33" s="28">
        <v>7</v>
      </c>
      <c r="J33" s="43">
        <v>8</v>
      </c>
      <c r="K33" s="44"/>
      <c r="L33" s="28">
        <v>9</v>
      </c>
      <c r="M33" s="43">
        <v>10</v>
      </c>
      <c r="N33" s="44"/>
      <c r="O33" s="28">
        <v>11</v>
      </c>
      <c r="P33" s="43">
        <v>12</v>
      </c>
      <c r="Q33" s="44"/>
    </row>
    <row r="34" spans="1:17" ht="45" customHeight="1" x14ac:dyDescent="0.2">
      <c r="A34" s="60" t="s">
        <v>41</v>
      </c>
      <c r="B34" s="65" t="s">
        <v>42</v>
      </c>
      <c r="C34" s="67"/>
      <c r="D34" s="66"/>
      <c r="E34" s="59" t="s">
        <v>43</v>
      </c>
      <c r="F34" s="29">
        <v>103503</v>
      </c>
      <c r="G34" s="29">
        <v>199378.5</v>
      </c>
      <c r="H34" s="30">
        <f>199378.5*H56</f>
        <v>205957.99049999999</v>
      </c>
      <c r="I34" s="30">
        <f>205958*I56</f>
        <v>215432.068</v>
      </c>
      <c r="J34" s="41">
        <f>215432.1*J56</f>
        <v>225341.97660000002</v>
      </c>
      <c r="K34" s="42"/>
      <c r="L34" s="30">
        <f>225342*L56</f>
        <v>228046.10399999999</v>
      </c>
      <c r="M34" s="41">
        <f>228046.1*M56</f>
        <v>237395.9901</v>
      </c>
      <c r="N34" s="42"/>
      <c r="O34" s="30">
        <f>237396*O56</f>
        <v>240244.75200000001</v>
      </c>
      <c r="P34" s="41">
        <f>240244.8*P56</f>
        <v>250094.83679999996</v>
      </c>
      <c r="Q34" s="42"/>
    </row>
    <row r="35" spans="1:17" ht="20.25" x14ac:dyDescent="0.2">
      <c r="A35" s="60"/>
      <c r="B35" s="61" t="s">
        <v>29</v>
      </c>
      <c r="C35" s="95" t="s">
        <v>78</v>
      </c>
      <c r="D35" s="96"/>
      <c r="E35" s="59"/>
      <c r="F35" s="31"/>
      <c r="G35" s="32"/>
      <c r="H35" s="32"/>
      <c r="I35" s="32"/>
      <c r="J35" s="41"/>
      <c r="K35" s="42"/>
      <c r="L35" s="32"/>
      <c r="M35" s="41"/>
      <c r="N35" s="42"/>
      <c r="O35" s="32"/>
      <c r="P35" s="41"/>
      <c r="Q35" s="42"/>
    </row>
    <row r="36" spans="1:17" ht="20.25" x14ac:dyDescent="0.2">
      <c r="A36" s="60"/>
      <c r="B36" s="61"/>
      <c r="C36" s="61" t="s">
        <v>44</v>
      </c>
      <c r="D36" s="61"/>
      <c r="E36" s="59"/>
      <c r="F36" s="32"/>
      <c r="G36" s="32"/>
      <c r="H36" s="32"/>
      <c r="I36" s="32"/>
      <c r="J36" s="41"/>
      <c r="K36" s="42"/>
      <c r="L36" s="32"/>
      <c r="M36" s="41"/>
      <c r="N36" s="42"/>
      <c r="O36" s="32"/>
      <c r="P36" s="41"/>
      <c r="Q36" s="42"/>
    </row>
    <row r="37" spans="1:17" ht="27.75" customHeight="1" x14ac:dyDescent="0.2">
      <c r="A37" s="60"/>
      <c r="B37" s="61"/>
      <c r="C37" s="61" t="s">
        <v>45</v>
      </c>
      <c r="D37" s="61"/>
      <c r="E37" s="59"/>
      <c r="F37" s="32"/>
      <c r="G37" s="32"/>
      <c r="H37" s="32"/>
      <c r="I37" s="32"/>
      <c r="J37" s="41"/>
      <c r="K37" s="42"/>
      <c r="L37" s="32"/>
      <c r="M37" s="41"/>
      <c r="N37" s="42"/>
      <c r="O37" s="32"/>
      <c r="P37" s="41"/>
      <c r="Q37" s="42"/>
    </row>
    <row r="38" spans="1:17" ht="39.75" customHeight="1" x14ac:dyDescent="0.2">
      <c r="A38" s="60"/>
      <c r="B38" s="61"/>
      <c r="C38" s="61" t="s">
        <v>46</v>
      </c>
      <c r="D38" s="61"/>
      <c r="E38" s="59"/>
      <c r="F38" s="32"/>
      <c r="G38" s="32"/>
      <c r="H38" s="32"/>
      <c r="I38" s="32"/>
      <c r="J38" s="41"/>
      <c r="K38" s="42"/>
      <c r="L38" s="32"/>
      <c r="M38" s="41"/>
      <c r="N38" s="42"/>
      <c r="O38" s="32"/>
      <c r="P38" s="41"/>
      <c r="Q38" s="42"/>
    </row>
    <row r="39" spans="1:17" ht="27.75" customHeight="1" x14ac:dyDescent="0.2">
      <c r="A39" s="60" t="s">
        <v>47</v>
      </c>
      <c r="B39" s="61" t="s">
        <v>48</v>
      </c>
      <c r="C39" s="61"/>
      <c r="D39" s="61"/>
      <c r="E39" s="59" t="s">
        <v>49</v>
      </c>
      <c r="F39" s="30">
        <f>F40+F41+F42</f>
        <v>9658</v>
      </c>
      <c r="G39" s="30">
        <f>G40+G41+G42</f>
        <v>5380</v>
      </c>
      <c r="H39" s="30">
        <f t="shared" ref="H39:P39" si="2">H40+H41+H42</f>
        <v>6980.4974999999995</v>
      </c>
      <c r="I39" s="30">
        <f t="shared" si="2"/>
        <v>7402.1235999999999</v>
      </c>
      <c r="J39" s="41">
        <f t="shared" si="2"/>
        <v>7743.642600000001</v>
      </c>
      <c r="K39" s="42"/>
      <c r="L39" s="30">
        <f t="shared" si="2"/>
        <v>7836.9280000000008</v>
      </c>
      <c r="M39" s="41">
        <f t="shared" si="2"/>
        <v>8158.2128999999995</v>
      </c>
      <c r="N39" s="42"/>
      <c r="O39" s="30">
        <f t="shared" si="2"/>
        <v>8256.0984000000008</v>
      </c>
      <c r="P39" s="41">
        <f t="shared" si="2"/>
        <v>8594.4959999999992</v>
      </c>
      <c r="Q39" s="42"/>
    </row>
    <row r="40" spans="1:17" ht="31.5" customHeight="1" x14ac:dyDescent="0.2">
      <c r="A40" s="60"/>
      <c r="B40" s="61" t="s">
        <v>13</v>
      </c>
      <c r="C40" s="61"/>
      <c r="D40" s="18" t="s">
        <v>50</v>
      </c>
      <c r="E40" s="59"/>
      <c r="F40" s="30">
        <v>783</v>
      </c>
      <c r="G40" s="30">
        <v>924</v>
      </c>
      <c r="H40" s="30">
        <f>973.5*H56</f>
        <v>1005.6254999999999</v>
      </c>
      <c r="I40" s="30">
        <f>1016*I56</f>
        <v>1062.7360000000001</v>
      </c>
      <c r="J40" s="41">
        <f>1063.7*J56</f>
        <v>1112.6302000000001</v>
      </c>
      <c r="K40" s="42"/>
      <c r="L40" s="30">
        <f>1112.6*L56</f>
        <v>1125.9512</v>
      </c>
      <c r="M40" s="41">
        <f>1126*M56</f>
        <v>1172.1659999999999</v>
      </c>
      <c r="N40" s="42"/>
      <c r="O40" s="30">
        <f>1172.2*O56</f>
        <v>1186.2664</v>
      </c>
      <c r="P40" s="41">
        <f>1186.3*P56</f>
        <v>1234.9382999999998</v>
      </c>
      <c r="Q40" s="42"/>
    </row>
    <row r="41" spans="1:17" ht="30" customHeight="1" x14ac:dyDescent="0.2">
      <c r="A41" s="60"/>
      <c r="B41" s="61"/>
      <c r="C41" s="61"/>
      <c r="D41" s="18" t="s">
        <v>51</v>
      </c>
      <c r="E41" s="59"/>
      <c r="F41" s="30">
        <v>3816</v>
      </c>
      <c r="G41" s="30">
        <v>2267</v>
      </c>
      <c r="H41" s="30">
        <f>2914*H56</f>
        <v>3010.1619999999998</v>
      </c>
      <c r="I41" s="30">
        <f>3064.9*I56</f>
        <v>3205.8854000000001</v>
      </c>
      <c r="J41" s="41">
        <f>3205.9*J56</f>
        <v>3353.3714000000004</v>
      </c>
      <c r="K41" s="42"/>
      <c r="L41" s="30">
        <f>3353.4*L56</f>
        <v>3393.6408000000001</v>
      </c>
      <c r="M41" s="41">
        <f>3393.6*M56</f>
        <v>3532.7375999999995</v>
      </c>
      <c r="N41" s="42"/>
      <c r="O41" s="30">
        <f>3532.7*O56</f>
        <v>3575.0924</v>
      </c>
      <c r="P41" s="41">
        <f>3575*P56</f>
        <v>3721.5749999999998</v>
      </c>
      <c r="Q41" s="42"/>
    </row>
    <row r="42" spans="1:17" ht="27.75" customHeight="1" x14ac:dyDescent="0.2">
      <c r="A42" s="60"/>
      <c r="B42" s="61"/>
      <c r="C42" s="61"/>
      <c r="D42" s="18" t="s">
        <v>52</v>
      </c>
      <c r="E42" s="59"/>
      <c r="F42" s="30">
        <v>5059</v>
      </c>
      <c r="G42" s="30">
        <v>2189</v>
      </c>
      <c r="H42" s="30">
        <f>2870*H56</f>
        <v>2964.7099999999996</v>
      </c>
      <c r="I42" s="30">
        <f>2995.7*I56</f>
        <v>3133.5021999999999</v>
      </c>
      <c r="J42" s="41">
        <f>3133.5*J56</f>
        <v>3277.6410000000001</v>
      </c>
      <c r="K42" s="42"/>
      <c r="L42" s="30">
        <f>3278*L56</f>
        <v>3317.3360000000002</v>
      </c>
      <c r="M42" s="41">
        <f>3317.3*M56</f>
        <v>3453.3092999999999</v>
      </c>
      <c r="N42" s="42"/>
      <c r="O42" s="30">
        <f>3453.3*O56</f>
        <v>3494.7396000000003</v>
      </c>
      <c r="P42" s="41">
        <f>3494.7*P56</f>
        <v>3637.9826999999996</v>
      </c>
      <c r="Q42" s="42"/>
    </row>
    <row r="43" spans="1:17" ht="30.75" customHeight="1" x14ac:dyDescent="0.2">
      <c r="A43" s="17" t="s">
        <v>53</v>
      </c>
      <c r="B43" s="61" t="s">
        <v>54</v>
      </c>
      <c r="C43" s="61"/>
      <c r="D43" s="61"/>
      <c r="E43" s="16" t="s">
        <v>49</v>
      </c>
      <c r="F43" s="32"/>
      <c r="G43" s="32"/>
      <c r="H43" s="32"/>
      <c r="I43" s="32"/>
      <c r="J43" s="41"/>
      <c r="K43" s="42"/>
      <c r="L43" s="32"/>
      <c r="M43" s="41"/>
      <c r="N43" s="42"/>
      <c r="O43" s="32"/>
      <c r="P43" s="41"/>
      <c r="Q43" s="42"/>
    </row>
    <row r="44" spans="1:17" ht="30" customHeight="1" x14ac:dyDescent="0.2">
      <c r="A44" s="17" t="s">
        <v>55</v>
      </c>
      <c r="B44" s="61" t="s">
        <v>56</v>
      </c>
      <c r="C44" s="61"/>
      <c r="D44" s="61"/>
      <c r="E44" s="16" t="s">
        <v>49</v>
      </c>
      <c r="F44" s="29">
        <f>19320</f>
        <v>19320</v>
      </c>
      <c r="G44" s="29">
        <f>9212.17+10710+3487+1203.9-1589</f>
        <v>23024.07</v>
      </c>
      <c r="H44" s="30">
        <f>23024.1*H56</f>
        <v>23783.895299999996</v>
      </c>
      <c r="I44" s="30">
        <f>23783.9*I56</f>
        <v>24877.959400000003</v>
      </c>
      <c r="J44" s="41">
        <f>24878*J56</f>
        <v>26022.388000000003</v>
      </c>
      <c r="K44" s="42"/>
      <c r="L44" s="30">
        <f>26022.4*L56</f>
        <v>26334.668800000003</v>
      </c>
      <c r="M44" s="41">
        <f>26334.7*M56</f>
        <v>27414.422699999999</v>
      </c>
      <c r="N44" s="42"/>
      <c r="O44" s="30">
        <f>27414.4*O56</f>
        <v>27743.372800000001</v>
      </c>
      <c r="P44" s="41">
        <f>27743.4*P56</f>
        <v>28880.879399999998</v>
      </c>
      <c r="Q44" s="42"/>
    </row>
    <row r="45" spans="1:17" ht="35.25" customHeight="1" x14ac:dyDescent="0.2">
      <c r="A45" s="60" t="s">
        <v>57</v>
      </c>
      <c r="B45" s="61" t="s">
        <v>58</v>
      </c>
      <c r="C45" s="61"/>
      <c r="D45" s="61"/>
      <c r="E45" s="59" t="s">
        <v>49</v>
      </c>
      <c r="F45" s="29">
        <f>F51+F47+F46</f>
        <v>62051</v>
      </c>
      <c r="G45" s="29">
        <f>G51+G47+G46</f>
        <v>71604</v>
      </c>
      <c r="H45" s="30">
        <f>H46+H47+H51</f>
        <v>73966.931999999986</v>
      </c>
      <c r="I45" s="30">
        <f t="shared" ref="I45:P45" si="3">I46+I47+I51</f>
        <v>77369.482000000004</v>
      </c>
      <c r="J45" s="41">
        <f t="shared" si="3"/>
        <v>80928.392399999997</v>
      </c>
      <c r="K45" s="42"/>
      <c r="L45" s="30">
        <f t="shared" si="3"/>
        <v>81899.540800000002</v>
      </c>
      <c r="M45" s="41">
        <f t="shared" si="3"/>
        <v>85257.379499999995</v>
      </c>
      <c r="N45" s="42"/>
      <c r="O45" s="30">
        <f t="shared" si="3"/>
        <v>86280.488800000006</v>
      </c>
      <c r="P45" s="41">
        <f t="shared" si="3"/>
        <v>89817.896399999998</v>
      </c>
      <c r="Q45" s="42"/>
    </row>
    <row r="46" spans="1:17" ht="34.5" customHeight="1" x14ac:dyDescent="0.2">
      <c r="A46" s="60"/>
      <c r="B46" s="61" t="s">
        <v>29</v>
      </c>
      <c r="C46" s="61" t="s">
        <v>59</v>
      </c>
      <c r="D46" s="61"/>
      <c r="E46" s="59"/>
      <c r="F46" s="29">
        <v>28793</v>
      </c>
      <c r="G46" s="29">
        <v>13244</v>
      </c>
      <c r="H46" s="29">
        <f>13244*H56</f>
        <v>13681.052</v>
      </c>
      <c r="I46" s="30">
        <f>13681.1*I56</f>
        <v>14310.430600000002</v>
      </c>
      <c r="J46" s="41">
        <f>14310.4*J56</f>
        <v>14968.678400000001</v>
      </c>
      <c r="K46" s="42"/>
      <c r="L46" s="30">
        <f>14968.7*L56</f>
        <v>15148.324400000001</v>
      </c>
      <c r="M46" s="41">
        <f>15148.3*M56</f>
        <v>15769.380299999999</v>
      </c>
      <c r="N46" s="42"/>
      <c r="O46" s="30">
        <f>15769.4*O56</f>
        <v>15958.632799999999</v>
      </c>
      <c r="P46" s="41">
        <f>15958.6*P56</f>
        <v>16612.902599999998</v>
      </c>
      <c r="Q46" s="42"/>
    </row>
    <row r="47" spans="1:17" ht="38.25" customHeight="1" x14ac:dyDescent="0.2">
      <c r="A47" s="60"/>
      <c r="B47" s="61"/>
      <c r="C47" s="61" t="s">
        <v>60</v>
      </c>
      <c r="D47" s="61"/>
      <c r="E47" s="59"/>
      <c r="F47" s="29">
        <v>31838</v>
      </c>
      <c r="G47" s="29">
        <v>49727</v>
      </c>
      <c r="H47" s="30">
        <f>49727*H56</f>
        <v>51367.990999999995</v>
      </c>
      <c r="I47" s="30">
        <f>51368*I56</f>
        <v>53730.928</v>
      </c>
      <c r="J47" s="41">
        <f>53730.9*J56</f>
        <v>56202.521400000005</v>
      </c>
      <c r="K47" s="42"/>
      <c r="L47" s="30">
        <f>56202.5*L56</f>
        <v>56876.93</v>
      </c>
      <c r="M47" s="41">
        <f>56876.9*M56</f>
        <v>59208.852899999998</v>
      </c>
      <c r="N47" s="42"/>
      <c r="O47" s="30">
        <f>59208.9*O56</f>
        <v>59919.406800000004</v>
      </c>
      <c r="P47" s="41">
        <f>59919.4*P56</f>
        <v>62376.095399999998</v>
      </c>
      <c r="Q47" s="42"/>
    </row>
    <row r="48" spans="1:17" ht="32.25" customHeight="1" x14ac:dyDescent="0.2">
      <c r="A48" s="60"/>
      <c r="B48" s="61"/>
      <c r="C48" s="61" t="s">
        <v>61</v>
      </c>
      <c r="D48" s="61"/>
      <c r="E48" s="59"/>
      <c r="F48" s="29">
        <v>11723</v>
      </c>
      <c r="G48" s="29">
        <v>1560</v>
      </c>
      <c r="H48" s="30">
        <f>1560*H56</f>
        <v>1611.4799999999998</v>
      </c>
      <c r="I48" s="30">
        <f>1611.5*I56</f>
        <v>1685.6290000000001</v>
      </c>
      <c r="J48" s="41">
        <f>1685.6*J56</f>
        <v>1763.1376</v>
      </c>
      <c r="K48" s="42"/>
      <c r="L48" s="30">
        <f>1763.1*L56</f>
        <v>1784.2572</v>
      </c>
      <c r="M48" s="41">
        <f>1784.3*M56</f>
        <v>1857.4562999999998</v>
      </c>
      <c r="N48" s="42"/>
      <c r="O48" s="30">
        <f>1857.5*O56</f>
        <v>1879.79</v>
      </c>
      <c r="P48" s="41">
        <f>1879.8*P56</f>
        <v>1956.8717999999999</v>
      </c>
      <c r="Q48" s="42"/>
    </row>
    <row r="49" spans="1:18" ht="29.25" customHeight="1" x14ac:dyDescent="0.2">
      <c r="A49" s="60"/>
      <c r="B49" s="61"/>
      <c r="C49" s="61" t="s">
        <v>62</v>
      </c>
      <c r="D49" s="61"/>
      <c r="E49" s="59"/>
      <c r="F49" s="29">
        <v>16395</v>
      </c>
      <c r="G49" s="29">
        <v>44340</v>
      </c>
      <c r="H49" s="30">
        <f>44340*H56</f>
        <v>45803.219999999994</v>
      </c>
      <c r="I49" s="30">
        <f>45803.2*I56</f>
        <v>47910.147199999999</v>
      </c>
      <c r="J49" s="41">
        <f>47910.1*J56</f>
        <v>50113.964599999999</v>
      </c>
      <c r="K49" s="42"/>
      <c r="L49" s="30">
        <f>50114*L56</f>
        <v>50715.368000000002</v>
      </c>
      <c r="M49" s="41">
        <f>50715.4*M56</f>
        <v>52794.731399999997</v>
      </c>
      <c r="N49" s="42"/>
      <c r="O49" s="30">
        <f>52794.7*O56</f>
        <v>53428.236399999994</v>
      </c>
      <c r="P49" s="41">
        <f>53428.2*P56</f>
        <v>55618.756199999996</v>
      </c>
      <c r="Q49" s="42"/>
    </row>
    <row r="50" spans="1:18" ht="30.75" customHeight="1" x14ac:dyDescent="0.2">
      <c r="A50" s="60"/>
      <c r="B50" s="61"/>
      <c r="C50" s="58" t="s">
        <v>63</v>
      </c>
      <c r="D50" s="58"/>
      <c r="E50" s="59"/>
      <c r="F50" s="29">
        <v>3720</v>
      </c>
      <c r="G50" s="29">
        <v>3827</v>
      </c>
      <c r="H50" s="30">
        <f>3827*H56</f>
        <v>3953.2909999999997</v>
      </c>
      <c r="I50" s="30">
        <f>3953.3*I56</f>
        <v>4135.1518000000005</v>
      </c>
      <c r="J50" s="41">
        <f>4135.2*J56</f>
        <v>4325.4192000000003</v>
      </c>
      <c r="K50" s="42"/>
      <c r="L50" s="30">
        <f>4325.4*L56</f>
        <v>4377.3047999999999</v>
      </c>
      <c r="M50" s="41">
        <f>4377.3*M56</f>
        <v>4556.7692999999999</v>
      </c>
      <c r="N50" s="42"/>
      <c r="O50" s="30">
        <f>4556.8*O56</f>
        <v>4611.4816000000001</v>
      </c>
      <c r="P50" s="41">
        <f>4611.5*P56</f>
        <v>4800.5715</v>
      </c>
      <c r="Q50" s="42"/>
    </row>
    <row r="51" spans="1:18" ht="39.75" customHeight="1" x14ac:dyDescent="0.2">
      <c r="A51" s="60"/>
      <c r="B51" s="61"/>
      <c r="C51" s="61" t="s">
        <v>64</v>
      </c>
      <c r="D51" s="61"/>
      <c r="E51" s="59"/>
      <c r="F51" s="29">
        <v>1420</v>
      </c>
      <c r="G51" s="29">
        <v>8633</v>
      </c>
      <c r="H51" s="30">
        <f>8633*H56</f>
        <v>8917.8889999999992</v>
      </c>
      <c r="I51" s="30">
        <f>8917.9*I56</f>
        <v>9328.1234000000004</v>
      </c>
      <c r="J51" s="41">
        <f>9328.1*J56</f>
        <v>9757.1926000000003</v>
      </c>
      <c r="K51" s="42"/>
      <c r="L51" s="30">
        <f>9757.2*L56</f>
        <v>9874.2864000000009</v>
      </c>
      <c r="M51" s="41">
        <f>9874.3*M56</f>
        <v>10279.146299999999</v>
      </c>
      <c r="N51" s="42"/>
      <c r="O51" s="30">
        <f>10279.1*O56</f>
        <v>10402.449200000001</v>
      </c>
      <c r="P51" s="41">
        <f>10402.4*P56</f>
        <v>10828.898399999998</v>
      </c>
      <c r="Q51" s="42"/>
      <c r="R51" s="1"/>
    </row>
    <row r="52" spans="1:18" ht="31.5" customHeight="1" x14ac:dyDescent="0.2">
      <c r="A52" s="11" t="s">
        <v>65</v>
      </c>
      <c r="B52" s="58" t="s">
        <v>66</v>
      </c>
      <c r="C52" s="58"/>
      <c r="D52" s="58"/>
      <c r="E52" s="12" t="s">
        <v>49</v>
      </c>
      <c r="F52" s="29">
        <v>37035</v>
      </c>
      <c r="G52" s="29">
        <f>56+734+334</f>
        <v>1124</v>
      </c>
      <c r="H52" s="29">
        <f>1124/H56</f>
        <v>1088.0929332042595</v>
      </c>
      <c r="I52" s="29">
        <f>1088.1/I56</f>
        <v>1040.2485659655831</v>
      </c>
      <c r="J52" s="39">
        <f>1040.2/J56</f>
        <v>994.45506692160609</v>
      </c>
      <c r="K52" s="40"/>
      <c r="L52" s="29">
        <f>994.5/L56</f>
        <v>982.70750988142288</v>
      </c>
      <c r="M52" s="39">
        <f>982.7/M56</f>
        <v>943.99615754082629</v>
      </c>
      <c r="N52" s="40"/>
      <c r="O52" s="29">
        <f>944/O56</f>
        <v>932.80632411067188</v>
      </c>
      <c r="P52" s="39">
        <f>932.8/P56</f>
        <v>896.06147934678199</v>
      </c>
      <c r="Q52" s="40"/>
      <c r="R52" s="1"/>
    </row>
    <row r="53" spans="1:18" ht="31.5" customHeight="1" x14ac:dyDescent="0.2">
      <c r="A53" s="11" t="s">
        <v>67</v>
      </c>
      <c r="B53" s="58" t="s">
        <v>68</v>
      </c>
      <c r="C53" s="58"/>
      <c r="D53" s="58"/>
      <c r="E53" s="12" t="s">
        <v>49</v>
      </c>
      <c r="F53" s="29">
        <v>126090</v>
      </c>
      <c r="G53" s="29">
        <f>324+4434+49887</f>
        <v>54645</v>
      </c>
      <c r="H53" s="29">
        <f>54645/H56</f>
        <v>52899.322362052277</v>
      </c>
      <c r="I53" s="29">
        <f>52899.3/I56</f>
        <v>50572.944550669214</v>
      </c>
      <c r="J53" s="39">
        <f>50572.9/J56</f>
        <v>48348.85277246654</v>
      </c>
      <c r="K53" s="40"/>
      <c r="L53" s="29">
        <f>48348.9/L56</f>
        <v>47775.592885375496</v>
      </c>
      <c r="M53" s="39">
        <f>47775.6/M56</f>
        <v>45893.948126801151</v>
      </c>
      <c r="N53" s="40"/>
      <c r="O53" s="29">
        <f>45893.9/O56</f>
        <v>45349.703557312256</v>
      </c>
      <c r="P53" s="39">
        <f>45349.7/P56</f>
        <v>43563.592699327572</v>
      </c>
      <c r="Q53" s="40"/>
      <c r="R53" s="1"/>
    </row>
    <row r="54" spans="1:18" ht="44.25" customHeight="1" x14ac:dyDescent="0.2">
      <c r="A54" s="17" t="s">
        <v>83</v>
      </c>
      <c r="B54" s="61" t="s">
        <v>69</v>
      </c>
      <c r="C54" s="61"/>
      <c r="D54" s="61"/>
      <c r="E54" s="16" t="s">
        <v>80</v>
      </c>
      <c r="F54" s="25">
        <v>3277</v>
      </c>
      <c r="G54" s="25">
        <f>272+226</f>
        <v>498</v>
      </c>
      <c r="H54" s="20">
        <f>700*H57</f>
        <v>724.5</v>
      </c>
      <c r="I54" s="20">
        <f>925*I57</f>
        <v>965.7</v>
      </c>
      <c r="J54" s="37">
        <f>966*J57</f>
        <v>1008.504</v>
      </c>
      <c r="K54" s="38"/>
      <c r="L54" s="20">
        <f>1009*L57</f>
        <v>1019.09</v>
      </c>
      <c r="M54" s="37">
        <f>1019*M57</f>
        <v>1056.703</v>
      </c>
      <c r="N54" s="38"/>
      <c r="O54" s="20">
        <f>1057*O57</f>
        <v>1067.57</v>
      </c>
      <c r="P54" s="37">
        <f>1068*P57</f>
        <v>1108.5840000000001</v>
      </c>
      <c r="Q54" s="38"/>
      <c r="R54" s="1"/>
    </row>
    <row r="55" spans="1:18" ht="42" customHeight="1" x14ac:dyDescent="0.2">
      <c r="A55" s="17" t="s">
        <v>84</v>
      </c>
      <c r="B55" s="61" t="s">
        <v>70</v>
      </c>
      <c r="C55" s="61"/>
      <c r="D55" s="61"/>
      <c r="E55" s="16" t="s">
        <v>43</v>
      </c>
      <c r="F55" s="29">
        <v>124421.7</v>
      </c>
      <c r="G55" s="29">
        <f>14961.1+8040</f>
        <v>23001.1</v>
      </c>
      <c r="H55" s="29">
        <f>23001.1*H57</f>
        <v>23806.138499999997</v>
      </c>
      <c r="I55" s="29">
        <f>23806.1*I57</f>
        <v>24853.5684</v>
      </c>
      <c r="J55" s="39">
        <f>24853.6*J57</f>
        <v>25947.1584</v>
      </c>
      <c r="K55" s="40"/>
      <c r="L55" s="29">
        <f>25947.2*L57</f>
        <v>26206.672000000002</v>
      </c>
      <c r="M55" s="39">
        <f>26206.7*M57</f>
        <v>27176.347899999997</v>
      </c>
      <c r="N55" s="40"/>
      <c r="O55" s="29">
        <f>27176.3*O57</f>
        <v>27448.062999999998</v>
      </c>
      <c r="P55" s="39">
        <f>27448.1*P57</f>
        <v>28491.127799999998</v>
      </c>
      <c r="Q55" s="40"/>
    </row>
    <row r="56" spans="1:18" ht="18.75" customHeight="1" x14ac:dyDescent="0.2">
      <c r="A56" s="33"/>
      <c r="B56" s="33"/>
      <c r="C56" s="33"/>
      <c r="D56" s="34"/>
      <c r="E56" s="34"/>
      <c r="F56" s="35"/>
      <c r="G56" s="35" t="s">
        <v>74</v>
      </c>
      <c r="H56" s="35">
        <v>1.0329999999999999</v>
      </c>
      <c r="I56" s="35">
        <v>1.046</v>
      </c>
      <c r="J56" s="35">
        <v>1.046</v>
      </c>
      <c r="K56" s="35"/>
      <c r="L56" s="35">
        <v>1.012</v>
      </c>
      <c r="M56" s="35">
        <v>1.0409999999999999</v>
      </c>
      <c r="N56" s="35"/>
      <c r="O56" s="35">
        <v>1.012</v>
      </c>
      <c r="P56" s="35">
        <v>1.0409999999999999</v>
      </c>
      <c r="Q56" s="36"/>
      <c r="R56" s="1"/>
    </row>
    <row r="57" spans="1:18" ht="15" customHeight="1" x14ac:dyDescent="0.2">
      <c r="A57" s="33"/>
      <c r="B57" s="33"/>
      <c r="C57" s="33"/>
      <c r="D57" s="34"/>
      <c r="E57" s="34"/>
      <c r="F57" s="35"/>
      <c r="G57" s="35" t="s">
        <v>75</v>
      </c>
      <c r="H57" s="35">
        <v>1.0349999999999999</v>
      </c>
      <c r="I57" s="35">
        <v>1.044</v>
      </c>
      <c r="J57" s="35">
        <v>1.044</v>
      </c>
      <c r="K57" s="35"/>
      <c r="L57" s="35">
        <v>1.01</v>
      </c>
      <c r="M57" s="35">
        <v>1.0369999999999999</v>
      </c>
      <c r="N57" s="35"/>
      <c r="O57" s="35">
        <v>1.01</v>
      </c>
      <c r="P57" s="35">
        <v>1.038</v>
      </c>
      <c r="Q57" s="36"/>
      <c r="R57" s="1"/>
    </row>
    <row r="58" spans="1:18" ht="53.25" customHeight="1" x14ac:dyDescent="0.2">
      <c r="A58" s="97" t="s">
        <v>76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</row>
    <row r="59" spans="1:18" s="3" customFormat="1" ht="45.75" customHeight="1" x14ac:dyDescent="0.3">
      <c r="A59" s="94" t="s">
        <v>81</v>
      </c>
      <c r="B59" s="94"/>
      <c r="C59" s="94"/>
      <c r="D59" s="9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1:18" ht="20.25" x14ac:dyDescent="0.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77" spans="8:8" x14ac:dyDescent="0.2">
      <c r="H77" s="15"/>
    </row>
  </sheetData>
  <mergeCells count="208">
    <mergeCell ref="H31:H32"/>
    <mergeCell ref="I31:I32"/>
    <mergeCell ref="J31:K32"/>
    <mergeCell ref="L31:L32"/>
    <mergeCell ref="J22:K22"/>
    <mergeCell ref="J27:K27"/>
    <mergeCell ref="J28:K28"/>
    <mergeCell ref="J29:K29"/>
    <mergeCell ref="J30:K30"/>
    <mergeCell ref="B33:D33"/>
    <mergeCell ref="B34:D34"/>
    <mergeCell ref="B35:B38"/>
    <mergeCell ref="A22:A32"/>
    <mergeCell ref="B23:B32"/>
    <mergeCell ref="C31:D32"/>
    <mergeCell ref="E22:E32"/>
    <mergeCell ref="F31:F32"/>
    <mergeCell ref="G31:G32"/>
    <mergeCell ref="A59:D59"/>
    <mergeCell ref="A34:A38"/>
    <mergeCell ref="C37:D37"/>
    <mergeCell ref="C38:D38"/>
    <mergeCell ref="B39:D39"/>
    <mergeCell ref="B40:C42"/>
    <mergeCell ref="C35:D35"/>
    <mergeCell ref="A58:Q58"/>
    <mergeCell ref="B55:D55"/>
    <mergeCell ref="C49:D49"/>
    <mergeCell ref="C50:D50"/>
    <mergeCell ref="C51:D51"/>
    <mergeCell ref="C36:D36"/>
    <mergeCell ref="B54:D54"/>
    <mergeCell ref="A45:A51"/>
    <mergeCell ref="B45:D45"/>
    <mergeCell ref="B46:B51"/>
    <mergeCell ref="C46:D46"/>
    <mergeCell ref="J53:K53"/>
    <mergeCell ref="J54:K54"/>
    <mergeCell ref="J55:K55"/>
    <mergeCell ref="J51:K51"/>
    <mergeCell ref="J52:K52"/>
    <mergeCell ref="J43:K43"/>
    <mergeCell ref="H5:H6"/>
    <mergeCell ref="I6:K6"/>
    <mergeCell ref="L6:N6"/>
    <mergeCell ref="E14:E20"/>
    <mergeCell ref="E5:E7"/>
    <mergeCell ref="J13:K13"/>
    <mergeCell ref="J7:K7"/>
    <mergeCell ref="J8:K8"/>
    <mergeCell ref="M7:N7"/>
    <mergeCell ref="M8:N8"/>
    <mergeCell ref="M12:N12"/>
    <mergeCell ref="M13:N13"/>
    <mergeCell ref="M14:N14"/>
    <mergeCell ref="M15:N15"/>
    <mergeCell ref="M16:N16"/>
    <mergeCell ref="M17:N17"/>
    <mergeCell ref="M18:N18"/>
    <mergeCell ref="M19:N19"/>
    <mergeCell ref="I1:J1"/>
    <mergeCell ref="L1:M1"/>
    <mergeCell ref="O1:P1"/>
    <mergeCell ref="I5:Q5"/>
    <mergeCell ref="E11:E13"/>
    <mergeCell ref="B8:D8"/>
    <mergeCell ref="C23:D23"/>
    <mergeCell ref="C24:D24"/>
    <mergeCell ref="B9:D9"/>
    <mergeCell ref="B10:D10"/>
    <mergeCell ref="B15:C20"/>
    <mergeCell ref="J17:K17"/>
    <mergeCell ref="J18:K18"/>
    <mergeCell ref="J19:K19"/>
    <mergeCell ref="J20:K20"/>
    <mergeCell ref="J21:K21"/>
    <mergeCell ref="J14:K14"/>
    <mergeCell ref="B5:D7"/>
    <mergeCell ref="P17:Q17"/>
    <mergeCell ref="P18:Q18"/>
    <mergeCell ref="P19:Q19"/>
    <mergeCell ref="O6:Q6"/>
    <mergeCell ref="F5:F6"/>
    <mergeCell ref="G5:G6"/>
    <mergeCell ref="A5:A7"/>
    <mergeCell ref="B52:D52"/>
    <mergeCell ref="B53:D53"/>
    <mergeCell ref="E34:E38"/>
    <mergeCell ref="E39:E42"/>
    <mergeCell ref="A39:A42"/>
    <mergeCell ref="B44:D44"/>
    <mergeCell ref="E45:E51"/>
    <mergeCell ref="B43:D43"/>
    <mergeCell ref="C47:D47"/>
    <mergeCell ref="C48:D48"/>
    <mergeCell ref="A11:A13"/>
    <mergeCell ref="A14:A20"/>
    <mergeCell ref="C29:D29"/>
    <mergeCell ref="C27:D27"/>
    <mergeCell ref="B22:D22"/>
    <mergeCell ref="C25:D25"/>
    <mergeCell ref="B11:D11"/>
    <mergeCell ref="B12:C13"/>
    <mergeCell ref="B14:D14"/>
    <mergeCell ref="C28:D28"/>
    <mergeCell ref="C26:D26"/>
    <mergeCell ref="B21:D21"/>
    <mergeCell ref="C30:D30"/>
    <mergeCell ref="J48:K48"/>
    <mergeCell ref="J49:K49"/>
    <mergeCell ref="J50:K50"/>
    <mergeCell ref="J38:K38"/>
    <mergeCell ref="J39:K39"/>
    <mergeCell ref="J40:K40"/>
    <mergeCell ref="J41:K41"/>
    <mergeCell ref="J42:K42"/>
    <mergeCell ref="J33:K33"/>
    <mergeCell ref="J34:K34"/>
    <mergeCell ref="J35:K35"/>
    <mergeCell ref="J36:K36"/>
    <mergeCell ref="J37:K37"/>
    <mergeCell ref="J46:K46"/>
    <mergeCell ref="J47:K47"/>
    <mergeCell ref="M44:N44"/>
    <mergeCell ref="M45:N45"/>
    <mergeCell ref="J45:K45"/>
    <mergeCell ref="J15:K15"/>
    <mergeCell ref="J16:K16"/>
    <mergeCell ref="M30:N30"/>
    <mergeCell ref="M33:N33"/>
    <mergeCell ref="M34:N34"/>
    <mergeCell ref="M31:N32"/>
    <mergeCell ref="M20:N20"/>
    <mergeCell ref="M21:N21"/>
    <mergeCell ref="M22:N22"/>
    <mergeCell ref="M23:N23"/>
    <mergeCell ref="M24:N24"/>
    <mergeCell ref="J44:K44"/>
    <mergeCell ref="J23:K23"/>
    <mergeCell ref="J24:K24"/>
    <mergeCell ref="J25:K25"/>
    <mergeCell ref="J26:K26"/>
    <mergeCell ref="M55:N55"/>
    <mergeCell ref="M46:N46"/>
    <mergeCell ref="M47:N47"/>
    <mergeCell ref="M48:N48"/>
    <mergeCell ref="M49:N49"/>
    <mergeCell ref="M35:N35"/>
    <mergeCell ref="M25:N25"/>
    <mergeCell ref="M26:N26"/>
    <mergeCell ref="M27:N27"/>
    <mergeCell ref="M28:N28"/>
    <mergeCell ref="M29:N29"/>
    <mergeCell ref="M51:N51"/>
    <mergeCell ref="M52:N52"/>
    <mergeCell ref="M53:N53"/>
    <mergeCell ref="M54:N54"/>
    <mergeCell ref="M36:N36"/>
    <mergeCell ref="M37:N37"/>
    <mergeCell ref="M38:N38"/>
    <mergeCell ref="M39:N39"/>
    <mergeCell ref="M40:N40"/>
    <mergeCell ref="M50:N50"/>
    <mergeCell ref="M41:N41"/>
    <mergeCell ref="M42:N42"/>
    <mergeCell ref="M43:N43"/>
    <mergeCell ref="P7:Q7"/>
    <mergeCell ref="P8:Q8"/>
    <mergeCell ref="P20:Q20"/>
    <mergeCell ref="P21:Q21"/>
    <mergeCell ref="P12:Q12"/>
    <mergeCell ref="P13:Q13"/>
    <mergeCell ref="P14:Q14"/>
    <mergeCell ref="P15:Q15"/>
    <mergeCell ref="P16:Q16"/>
    <mergeCell ref="P27:Q27"/>
    <mergeCell ref="P28:Q28"/>
    <mergeCell ref="P29:Q29"/>
    <mergeCell ref="P30:Q30"/>
    <mergeCell ref="P22:Q22"/>
    <mergeCell ref="P23:Q23"/>
    <mergeCell ref="P24:Q24"/>
    <mergeCell ref="P38:Q38"/>
    <mergeCell ref="P39:Q39"/>
    <mergeCell ref="P25:Q25"/>
    <mergeCell ref="P26:Q26"/>
    <mergeCell ref="P31:Q32"/>
    <mergeCell ref="P40:Q40"/>
    <mergeCell ref="P41:Q41"/>
    <mergeCell ref="P42:Q42"/>
    <mergeCell ref="P33:Q33"/>
    <mergeCell ref="P34:Q34"/>
    <mergeCell ref="P35:Q35"/>
    <mergeCell ref="P36:Q36"/>
    <mergeCell ref="P37:Q37"/>
    <mergeCell ref="P53:Q53"/>
    <mergeCell ref="P54:Q54"/>
    <mergeCell ref="P55:Q55"/>
    <mergeCell ref="P48:Q48"/>
    <mergeCell ref="P49:Q49"/>
    <mergeCell ref="P50:Q50"/>
    <mergeCell ref="P51:Q51"/>
    <mergeCell ref="P52:Q52"/>
    <mergeCell ref="P43:Q43"/>
    <mergeCell ref="P44:Q44"/>
    <mergeCell ref="P45:Q45"/>
    <mergeCell ref="P46:Q46"/>
    <mergeCell ref="P47:Q47"/>
  </mergeCells>
  <pageMargins left="0.23622047244094491" right="0.23622047244094491" top="0.74803149606299213" bottom="0.74803149606299213" header="0.31496062992125984" footer="0.31496062992125984"/>
  <pageSetup paperSize="9" scale="57" fitToHeight="2" orientation="landscape" r:id="rId1"/>
  <rowBreaks count="2" manualBreakCount="2">
    <brk id="31" max="16383" man="1"/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Ожева Саида Руслановна</cp:lastModifiedBy>
  <cp:lastPrinted>2021-07-06T12:42:42Z</cp:lastPrinted>
  <dcterms:created xsi:type="dcterms:W3CDTF">2018-07-19T08:04:03Z</dcterms:created>
  <dcterms:modified xsi:type="dcterms:W3CDTF">2021-07-07T13:06:38Z</dcterms:modified>
</cp:coreProperties>
</file>